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ul Negrão\Desktop\"/>
    </mc:Choice>
  </mc:AlternateContent>
  <xr:revisionPtr revIDLastSave="0" documentId="8_{3A085E59-0F35-42BD-9279-A40280920921}" xr6:coauthVersionLast="34" xr6:coauthVersionMax="34" xr10:uidLastSave="{00000000-0000-0000-0000-000000000000}"/>
  <bookViews>
    <workbookView xWindow="0" yWindow="0" windowWidth="23040" windowHeight="10452" activeTab="1" xr2:uid="{00000000-000D-0000-FFFF-FFFF00000000}"/>
  </bookViews>
  <sheets>
    <sheet name="FRUTOS" sheetId="1" r:id="rId1"/>
    <sheet name="SEMENTES" sheetId="2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2" l="1"/>
  <c r="K9" i="2"/>
  <c r="K8" i="2"/>
  <c r="O11" i="1" l="1"/>
  <c r="T32" i="1"/>
  <c r="T33" i="1"/>
  <c r="T34" i="1"/>
  <c r="T35" i="1"/>
  <c r="T31" i="1"/>
  <c r="S36" i="1"/>
  <c r="T36" i="1" s="1"/>
  <c r="F53" i="1"/>
  <c r="T6" i="1"/>
  <c r="T5" i="1"/>
  <c r="T4" i="1"/>
  <c r="O54" i="1"/>
  <c r="T20" i="1"/>
  <c r="T21" i="1"/>
  <c r="T22" i="1"/>
  <c r="T23" i="1"/>
  <c r="T24" i="1"/>
  <c r="T25" i="1"/>
  <c r="T26" i="1"/>
  <c r="T27" i="1"/>
  <c r="T19" i="1"/>
  <c r="S28" i="1"/>
  <c r="T28" i="1" s="1"/>
  <c r="K15" i="1"/>
  <c r="O12" i="1"/>
  <c r="O13" i="1"/>
  <c r="O14" i="1"/>
  <c r="O15" i="1"/>
  <c r="O16" i="1"/>
  <c r="O17" i="1"/>
  <c r="O18" i="1"/>
  <c r="N19" i="1"/>
  <c r="O19" i="1" s="1"/>
  <c r="J31" i="2" l="1"/>
  <c r="K24" i="2" s="1"/>
  <c r="J56" i="2"/>
  <c r="K53" i="2" s="1"/>
  <c r="J43" i="2"/>
  <c r="K41" i="2" s="1"/>
  <c r="K30" i="2" l="1"/>
  <c r="K26" i="2"/>
  <c r="K29" i="2"/>
  <c r="K25" i="2"/>
  <c r="K31" i="2"/>
  <c r="K27" i="2"/>
  <c r="K23" i="2"/>
  <c r="K28" i="2"/>
  <c r="K54" i="2"/>
  <c r="K56" i="2"/>
  <c r="K40" i="2"/>
  <c r="K55" i="2"/>
  <c r="K52" i="2"/>
  <c r="K43" i="2"/>
  <c r="K42" i="2"/>
  <c r="K19" i="2" l="1"/>
  <c r="K18" i="2"/>
  <c r="K17" i="2"/>
  <c r="K16" i="2"/>
  <c r="K15" i="2"/>
  <c r="K14" i="2"/>
  <c r="K13" i="2"/>
  <c r="K12" i="2"/>
  <c r="K11" i="2"/>
  <c r="K7" i="2"/>
  <c r="K6" i="2"/>
  <c r="K5" i="2"/>
  <c r="K4" i="2"/>
  <c r="G3" i="2" s="1"/>
  <c r="K3" i="2"/>
  <c r="K2" i="2"/>
  <c r="C3" i="2" l="1"/>
  <c r="E3" i="2"/>
  <c r="G7" i="2"/>
  <c r="G11" i="2"/>
  <c r="G15" i="2"/>
  <c r="G19" i="2"/>
  <c r="G23" i="2"/>
  <c r="G27" i="2"/>
  <c r="G31" i="2"/>
  <c r="G35" i="2"/>
  <c r="G39" i="2"/>
  <c r="G43" i="2"/>
  <c r="G47" i="2"/>
  <c r="G51" i="2"/>
  <c r="G4" i="2"/>
  <c r="G8" i="2"/>
  <c r="G12" i="2"/>
  <c r="G16" i="2"/>
  <c r="G20" i="2"/>
  <c r="G24" i="2"/>
  <c r="G28" i="2"/>
  <c r="G32" i="2"/>
  <c r="G36" i="2"/>
  <c r="G40" i="2"/>
  <c r="G44" i="2"/>
  <c r="G48" i="2"/>
  <c r="G52" i="2"/>
  <c r="G5" i="2"/>
  <c r="G9" i="2"/>
  <c r="G13" i="2"/>
  <c r="G17" i="2"/>
  <c r="G21" i="2"/>
  <c r="G25" i="2"/>
  <c r="G29" i="2"/>
  <c r="G33" i="2"/>
  <c r="G37" i="2"/>
  <c r="G41" i="2"/>
  <c r="G45" i="2"/>
  <c r="G49" i="2"/>
  <c r="G6" i="2"/>
  <c r="G10" i="2"/>
  <c r="G14" i="2"/>
  <c r="G18" i="2"/>
  <c r="G22" i="2"/>
  <c r="G26" i="2"/>
  <c r="G30" i="2"/>
  <c r="G34" i="2"/>
  <c r="G38" i="2"/>
  <c r="G42" i="2"/>
  <c r="G46" i="2"/>
  <c r="G50" i="2"/>
  <c r="E5" i="2"/>
  <c r="E9" i="2"/>
  <c r="E13" i="2"/>
  <c r="E17" i="2"/>
  <c r="E21" i="2"/>
  <c r="E25" i="2"/>
  <c r="E29" i="2"/>
  <c r="E33" i="2"/>
  <c r="E37" i="2"/>
  <c r="E41" i="2"/>
  <c r="E45" i="2"/>
  <c r="E49" i="2"/>
  <c r="C5" i="2"/>
  <c r="C9" i="2"/>
  <c r="C13" i="2"/>
  <c r="C17" i="2"/>
  <c r="C21" i="2"/>
  <c r="C25" i="2"/>
  <c r="C29" i="2"/>
  <c r="C33" i="2"/>
  <c r="C37" i="2"/>
  <c r="C41" i="2"/>
  <c r="C45" i="2"/>
  <c r="C49" i="2"/>
  <c r="C6" i="2"/>
  <c r="C22" i="2"/>
  <c r="C30" i="2"/>
  <c r="C42" i="2"/>
  <c r="E6" i="2"/>
  <c r="E10" i="2"/>
  <c r="E14" i="2"/>
  <c r="E18" i="2"/>
  <c r="E22" i="2"/>
  <c r="E26" i="2"/>
  <c r="E30" i="2"/>
  <c r="E34" i="2"/>
  <c r="E38" i="2"/>
  <c r="E42" i="2"/>
  <c r="E46" i="2"/>
  <c r="E50" i="2"/>
  <c r="E7" i="2"/>
  <c r="E11" i="2"/>
  <c r="E15" i="2"/>
  <c r="E19" i="2"/>
  <c r="E23" i="2"/>
  <c r="E27" i="2"/>
  <c r="E31" i="2"/>
  <c r="E35" i="2"/>
  <c r="E39" i="2"/>
  <c r="E43" i="2"/>
  <c r="E47" i="2"/>
  <c r="E51" i="2"/>
  <c r="C7" i="2"/>
  <c r="C11" i="2"/>
  <c r="C15" i="2"/>
  <c r="C19" i="2"/>
  <c r="C23" i="2"/>
  <c r="C27" i="2"/>
  <c r="C31" i="2"/>
  <c r="C35" i="2"/>
  <c r="C39" i="2"/>
  <c r="C43" i="2"/>
  <c r="C47" i="2"/>
  <c r="C51" i="2"/>
  <c r="C24" i="2"/>
  <c r="C32" i="2"/>
  <c r="C40" i="2"/>
  <c r="C48" i="2"/>
  <c r="C10" i="2"/>
  <c r="C18" i="2"/>
  <c r="C34" i="2"/>
  <c r="C46" i="2"/>
  <c r="E4" i="2"/>
  <c r="E8" i="2"/>
  <c r="E12" i="2"/>
  <c r="E16" i="2"/>
  <c r="E20" i="2"/>
  <c r="E24" i="2"/>
  <c r="E28" i="2"/>
  <c r="E32" i="2"/>
  <c r="E36" i="2"/>
  <c r="E40" i="2"/>
  <c r="E44" i="2"/>
  <c r="E48" i="2"/>
  <c r="E52" i="2"/>
  <c r="C4" i="2"/>
  <c r="C8" i="2"/>
  <c r="C12" i="2"/>
  <c r="C16" i="2"/>
  <c r="C20" i="2"/>
  <c r="C28" i="2"/>
  <c r="C36" i="2"/>
  <c r="C44" i="2"/>
  <c r="C52" i="2"/>
  <c r="C14" i="2"/>
  <c r="C26" i="2"/>
  <c r="C38" i="2"/>
  <c r="C50" i="2"/>
  <c r="K16" i="1"/>
  <c r="K14" i="1"/>
  <c r="K12" i="1"/>
  <c r="K13" i="1"/>
  <c r="K11" i="1"/>
  <c r="K10" i="1"/>
  <c r="K9" i="1"/>
  <c r="K8" i="1"/>
  <c r="G53" i="2" l="1"/>
  <c r="G54" i="2" s="1"/>
  <c r="E53" i="2"/>
  <c r="E54" i="2" s="1"/>
  <c r="C53" i="2"/>
  <c r="C54" i="2" s="1"/>
  <c r="K7" i="1"/>
  <c r="K6" i="1"/>
  <c r="K5" i="1"/>
  <c r="K4" i="1"/>
  <c r="K3" i="1"/>
  <c r="K2" i="1"/>
  <c r="G5" i="1" l="1"/>
  <c r="G9" i="1"/>
  <c r="G13" i="1"/>
  <c r="G17" i="1"/>
  <c r="G21" i="1"/>
  <c r="G25" i="1"/>
  <c r="G29" i="1"/>
  <c r="G33" i="1"/>
  <c r="G37" i="1"/>
  <c r="G41" i="1"/>
  <c r="G45" i="1"/>
  <c r="G49" i="1"/>
  <c r="G6" i="1"/>
  <c r="G10" i="1"/>
  <c r="G14" i="1"/>
  <c r="G18" i="1"/>
  <c r="G22" i="1"/>
  <c r="G26" i="1"/>
  <c r="G30" i="1"/>
  <c r="G34" i="1"/>
  <c r="G38" i="1"/>
  <c r="G42" i="1"/>
  <c r="G46" i="1"/>
  <c r="G50" i="1"/>
  <c r="G4" i="1"/>
  <c r="G12" i="1"/>
  <c r="G16" i="1"/>
  <c r="G24" i="1"/>
  <c r="G32" i="1"/>
  <c r="G40" i="1"/>
  <c r="G48" i="1"/>
  <c r="G3" i="1"/>
  <c r="G7" i="1"/>
  <c r="G11" i="1"/>
  <c r="G15" i="1"/>
  <c r="G19" i="1"/>
  <c r="G23" i="1"/>
  <c r="G27" i="1"/>
  <c r="G31" i="1"/>
  <c r="G35" i="1"/>
  <c r="G39" i="1"/>
  <c r="G43" i="1"/>
  <c r="G47" i="1"/>
  <c r="G51" i="1"/>
  <c r="G8" i="1"/>
  <c r="G20" i="1"/>
  <c r="G28" i="1"/>
  <c r="G36" i="1"/>
  <c r="G44" i="1"/>
  <c r="G52" i="1"/>
  <c r="E5" i="1"/>
  <c r="E9" i="1"/>
  <c r="E13" i="1"/>
  <c r="E17" i="1"/>
  <c r="E21" i="1"/>
  <c r="E25" i="1"/>
  <c r="E29" i="1"/>
  <c r="E33" i="1"/>
  <c r="E37" i="1"/>
  <c r="E41" i="1"/>
  <c r="E45" i="1"/>
  <c r="E49" i="1"/>
  <c r="E6" i="1"/>
  <c r="E10" i="1"/>
  <c r="E14" i="1"/>
  <c r="E18" i="1"/>
  <c r="E22" i="1"/>
  <c r="E26" i="1"/>
  <c r="E30" i="1"/>
  <c r="E34" i="1"/>
  <c r="E38" i="1"/>
  <c r="E42" i="1"/>
  <c r="E46" i="1"/>
  <c r="E50" i="1"/>
  <c r="E3" i="1"/>
  <c r="E7" i="1"/>
  <c r="E11" i="1"/>
  <c r="E15" i="1"/>
  <c r="E19" i="1"/>
  <c r="E23" i="1"/>
  <c r="E27" i="1"/>
  <c r="E31" i="1"/>
  <c r="E35" i="1"/>
  <c r="E39" i="1"/>
  <c r="E43" i="1"/>
  <c r="E47" i="1"/>
  <c r="E51" i="1"/>
  <c r="E4" i="1"/>
  <c r="E8" i="1"/>
  <c r="E12" i="1"/>
  <c r="E16" i="1"/>
  <c r="E20" i="1"/>
  <c r="E24" i="1"/>
  <c r="E28" i="1"/>
  <c r="E32" i="1"/>
  <c r="E36" i="1"/>
  <c r="E40" i="1"/>
  <c r="E44" i="1"/>
  <c r="E48" i="1"/>
  <c r="E52" i="1"/>
  <c r="C4" i="1"/>
  <c r="C6" i="1"/>
  <c r="C10" i="1"/>
  <c r="C14" i="1"/>
  <c r="C18" i="1"/>
  <c r="C22" i="1"/>
  <c r="C26" i="1"/>
  <c r="C30" i="1"/>
  <c r="C34" i="1"/>
  <c r="C38" i="1"/>
  <c r="C42" i="1"/>
  <c r="C46" i="1"/>
  <c r="C50" i="1"/>
  <c r="C5" i="1"/>
  <c r="C9" i="1"/>
  <c r="C17" i="1"/>
  <c r="C21" i="1"/>
  <c r="C29" i="1"/>
  <c r="C37" i="1"/>
  <c r="C45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8" i="1"/>
  <c r="C12" i="1"/>
  <c r="C16" i="1"/>
  <c r="C20" i="1"/>
  <c r="C24" i="1"/>
  <c r="C28" i="1"/>
  <c r="C32" i="1"/>
  <c r="C36" i="1"/>
  <c r="C40" i="1"/>
  <c r="C44" i="1"/>
  <c r="C48" i="1"/>
  <c r="C52" i="1"/>
  <c r="C13" i="1"/>
  <c r="C25" i="1"/>
  <c r="C33" i="1"/>
  <c r="C41" i="1"/>
  <c r="C49" i="1"/>
  <c r="G53" i="1" l="1"/>
  <c r="G54" i="1" s="1"/>
  <c r="E53" i="1"/>
  <c r="E54" i="1" s="1"/>
  <c r="C53" i="1"/>
  <c r="C54" i="1" s="1"/>
</calcChain>
</file>

<file path=xl/sharedStrings.xml><?xml version="1.0" encoding="utf-8"?>
<sst xmlns="http://schemas.openxmlformats.org/spreadsheetml/2006/main" count="148" uniqueCount="80">
  <si>
    <t>BIOMETRIA DAS SEMENTES DE JACARANDÁ</t>
  </si>
  <si>
    <t>AMOSTRA</t>
  </si>
  <si>
    <t>LARGURA</t>
  </si>
  <si>
    <t>COMPRIMENTO</t>
  </si>
  <si>
    <t>ESPESSURA</t>
  </si>
  <si>
    <t>MÉDIA</t>
  </si>
  <si>
    <t>MEDIANA</t>
  </si>
  <si>
    <t>ANÁLISE ESTATÍSTICA DESCRITIVA</t>
  </si>
  <si>
    <t>MODA</t>
  </si>
  <si>
    <t>BIOMETRIA DOS FRUTOS DE JACARANDÁ</t>
  </si>
  <si>
    <t>DESV. PADRÃO</t>
  </si>
  <si>
    <t>MÁXIMO</t>
  </si>
  <si>
    <t>MÍNIMO</t>
  </si>
  <si>
    <t>MÉDIA DE SEMENTES POR FRUTO</t>
  </si>
  <si>
    <t>LARGURA (cm)</t>
  </si>
  <si>
    <t>COMPRIMENTO (cm)</t>
  </si>
  <si>
    <t>ESPESSURA (cm)</t>
  </si>
  <si>
    <t>LARGURA (mm)</t>
  </si>
  <si>
    <t>Bloco</t>
  </si>
  <si>
    <t>Freqüência</t>
  </si>
  <si>
    <t>Percentual</t>
  </si>
  <si>
    <t>total</t>
  </si>
  <si>
    <t>DISTRIBUIÇÃO DE FREQUÊNCIAS LARGURA</t>
  </si>
  <si>
    <t>DISTRIBUIÇÃO DE FREQUÊNCIAS COMPRIMENTO</t>
  </si>
  <si>
    <t>COMPRIMENTO (mm)</t>
  </si>
  <si>
    <t>ESPESSURA (mm)</t>
  </si>
  <si>
    <t>DISTRIBUIÇÃO DE FREQUÊNCIAS ESPESSURA</t>
  </si>
  <si>
    <t>VARIÂNCIA</t>
  </si>
  <si>
    <t>Coluna1</t>
  </si>
  <si>
    <t>x1-média</t>
  </si>
  <si>
    <t>Mais</t>
  </si>
  <si>
    <t xml:space="preserve"> até 5,1</t>
  </si>
  <si>
    <t>de 5,2 a 5,4</t>
  </si>
  <si>
    <t>de 5,5 a 5,7</t>
  </si>
  <si>
    <t>de 5,8 a 6</t>
  </si>
  <si>
    <t>de 6,1 a 6,3</t>
  </si>
  <si>
    <t>de 6,4 a 6,6</t>
  </si>
  <si>
    <t>de 6,7 a 6,9</t>
  </si>
  <si>
    <t>de 7 a 7,2</t>
  </si>
  <si>
    <t>distribuição de frequências da largura</t>
  </si>
  <si>
    <t>até 6,2</t>
  </si>
  <si>
    <t>de 6,8 a7,2</t>
  </si>
  <si>
    <t>de 6,3 a 6,7</t>
  </si>
  <si>
    <t>de 7,3 a 7,7</t>
  </si>
  <si>
    <t>de 7,4 a 8,2</t>
  </si>
  <si>
    <t>de 8,3 a 8,7</t>
  </si>
  <si>
    <t>de 8,8 a 9,2</t>
  </si>
  <si>
    <t>de 9,3 a 9,7</t>
  </si>
  <si>
    <t>de 9,8 a 10</t>
  </si>
  <si>
    <t>Distribuição de frequências do comprimento</t>
  </si>
  <si>
    <t>d.p = 0,55</t>
  </si>
  <si>
    <t>d.p = 0,90</t>
  </si>
  <si>
    <t>Coluna2</t>
  </si>
  <si>
    <t>d.p = 0,26</t>
  </si>
  <si>
    <t>até 2,1</t>
  </si>
  <si>
    <t>de 2,2 a 2,4</t>
  </si>
  <si>
    <t>de 2,5 a 2,7</t>
  </si>
  <si>
    <t>de 2,8 a 3</t>
  </si>
  <si>
    <t>de 3,1 a 3,2</t>
  </si>
  <si>
    <t>FRUTOS</t>
  </si>
  <si>
    <t>Distribuição de frequencias da espessura</t>
  </si>
  <si>
    <t>xi-média</t>
  </si>
  <si>
    <t>d.p = 1,1</t>
  </si>
  <si>
    <t>d.p = 0,8</t>
  </si>
  <si>
    <t>d.p = 0,5</t>
  </si>
  <si>
    <t>Até 6,1</t>
  </si>
  <si>
    <t>De 6,2 a 6,6</t>
  </si>
  <si>
    <t>De 6,7 a 7,1</t>
  </si>
  <si>
    <t>De 7,2 a 7,6</t>
  </si>
  <si>
    <t>De 7,7 a 8,1</t>
  </si>
  <si>
    <t>De 8,2 a 8,6</t>
  </si>
  <si>
    <t>De 8,7 a 9,1</t>
  </si>
  <si>
    <t>De 9,2 a 9,6</t>
  </si>
  <si>
    <t>De 7,1 a 8</t>
  </si>
  <si>
    <t>De 8,1 a 8,7</t>
  </si>
  <si>
    <t>Até 0,4</t>
  </si>
  <si>
    <t>De 0,5 a 0,8</t>
  </si>
  <si>
    <t>De 0,9 a 1,2</t>
  </si>
  <si>
    <t>De 1,3 a 1,6</t>
  </si>
  <si>
    <t>Até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</si>
</sst>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3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/>
      <right/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/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15" applyNumberFormat="0" applyFill="0" applyAlignment="0" applyProtection="0"/>
    <xf numFmtId="0" fontId="3" fillId="2" borderId="1" applyNumberFormat="0" applyAlignment="0" applyProtection="0"/>
    <xf numFmtId="0" fontId="4" fillId="3" borderId="2" applyNumberFormat="0" applyAlignment="0" applyProtection="0"/>
  </cellStyleXfs>
  <cellXfs count="7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4" fillId="4" borderId="2" xfId="3" applyFill="1" applyAlignment="1">
      <alignment horizontal="center"/>
    </xf>
    <xf numFmtId="0" fontId="4" fillId="4" borderId="3" xfId="3" applyFill="1" applyBorder="1" applyAlignment="1">
      <alignment horizontal="center"/>
    </xf>
    <xf numFmtId="0" fontId="2" fillId="0" borderId="13" xfId="1" applyFont="1" applyBorder="1"/>
    <xf numFmtId="0" fontId="2" fillId="0" borderId="13" xfId="1" applyFont="1" applyFill="1" applyBorder="1"/>
    <xf numFmtId="0" fontId="2" fillId="0" borderId="16" xfId="1" applyFont="1" applyBorder="1"/>
    <xf numFmtId="0" fontId="2" fillId="0" borderId="15" xfId="1" applyFont="1" applyBorder="1"/>
    <xf numFmtId="0" fontId="2" fillId="0" borderId="16" xfId="1" applyFont="1" applyFill="1" applyBorder="1"/>
    <xf numFmtId="0" fontId="2" fillId="0" borderId="15" xfId="1" applyFont="1" applyFill="1" applyBorder="1"/>
    <xf numFmtId="0" fontId="0" fillId="6" borderId="19" xfId="0" applyFont="1" applyFill="1" applyBorder="1" applyAlignment="1">
      <alignment horizontal="center"/>
    </xf>
    <xf numFmtId="0" fontId="0" fillId="6" borderId="20" xfId="0" applyFont="1" applyFill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3" xfId="0" applyFill="1" applyBorder="1" applyAlignment="1"/>
    <xf numFmtId="0" fontId="6" fillId="0" borderId="21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4" fillId="4" borderId="2" xfId="3" applyFill="1" applyAlignment="1">
      <alignment horizontal="center"/>
    </xf>
    <xf numFmtId="0" fontId="0" fillId="0" borderId="0" xfId="0" applyAlignment="1">
      <alignment horizontal="center"/>
    </xf>
    <xf numFmtId="164" fontId="2" fillId="0" borderId="17" xfId="1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4" fillId="4" borderId="0" xfId="3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0" fillId="0" borderId="28" xfId="0" applyNumberForma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Fill="1" applyBorder="1" applyAlignment="1"/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14" xfId="0" applyBorder="1"/>
    <xf numFmtId="164" fontId="0" fillId="0" borderId="0" xfId="0" applyNumberFormat="1"/>
    <xf numFmtId="0" fontId="5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4" borderId="5" xfId="3" applyFill="1" applyBorder="1" applyAlignment="1">
      <alignment horizontal="center"/>
    </xf>
    <xf numFmtId="0" fontId="4" fillId="4" borderId="6" xfId="3" applyFill="1" applyBorder="1" applyAlignment="1">
      <alignment horizontal="center"/>
    </xf>
    <xf numFmtId="0" fontId="4" fillId="4" borderId="7" xfId="3" applyFill="1" applyBorder="1" applyAlignment="1">
      <alignment horizontal="center"/>
    </xf>
    <xf numFmtId="0" fontId="5" fillId="5" borderId="31" xfId="2" applyFont="1" applyFill="1" applyBorder="1" applyAlignment="1">
      <alignment horizontal="center" vertical="center"/>
    </xf>
    <xf numFmtId="0" fontId="5" fillId="5" borderId="32" xfId="2" applyFont="1" applyFill="1" applyBorder="1" applyAlignment="1">
      <alignment horizontal="center" vertical="center"/>
    </xf>
    <xf numFmtId="0" fontId="5" fillId="5" borderId="33" xfId="2" applyFont="1" applyFill="1" applyBorder="1" applyAlignment="1">
      <alignment horizontal="center" vertical="center"/>
    </xf>
    <xf numFmtId="0" fontId="5" fillId="5" borderId="10" xfId="2" applyFont="1" applyFill="1" applyBorder="1" applyAlignment="1">
      <alignment horizontal="center" vertical="center"/>
    </xf>
    <xf numFmtId="0" fontId="5" fillId="5" borderId="11" xfId="2" applyFont="1" applyFill="1" applyBorder="1" applyAlignment="1">
      <alignment horizontal="center" vertical="center"/>
    </xf>
    <xf numFmtId="0" fontId="5" fillId="5" borderId="12" xfId="2" applyFont="1" applyFill="1" applyBorder="1" applyAlignment="1">
      <alignment horizontal="center" vertical="center"/>
    </xf>
    <xf numFmtId="0" fontId="4" fillId="4" borderId="2" xfId="3" applyFill="1" applyAlignment="1">
      <alignment horizontal="center" vertical="top"/>
    </xf>
    <xf numFmtId="0" fontId="4" fillId="4" borderId="8" xfId="3" applyFill="1" applyBorder="1" applyAlignment="1">
      <alignment horizontal="center"/>
    </xf>
    <xf numFmtId="0" fontId="4" fillId="4" borderId="4" xfId="3" applyFill="1" applyBorder="1" applyAlignment="1">
      <alignment horizontal="center"/>
    </xf>
    <xf numFmtId="0" fontId="4" fillId="4" borderId="9" xfId="3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4" fillId="4" borderId="2" xfId="3" applyFill="1" applyAlignment="1">
      <alignment horizontal="center"/>
    </xf>
    <xf numFmtId="0" fontId="0" fillId="0" borderId="13" xfId="0" applyBorder="1" applyAlignment="1">
      <alignment horizontal="center"/>
    </xf>
  </cellXfs>
  <cellStyles count="4">
    <cellStyle name="Célula de Verificação" xfId="3" builtinId="23"/>
    <cellStyle name="Célula Vinculada" xfId="1" builtinId="24" customBuiltin="1"/>
    <cellStyle name="Normal" xfId="0" builtinId="0"/>
    <cellStyle name="Saída" xfId="2" builtinId="21"/>
  </cellStyles>
  <dxfs count="35"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double">
          <color rgb="FF3F3F3F"/>
        </top>
      </border>
    </dxf>
    <dxf>
      <alignment horizontal="center" vertical="bottom" textRotation="0" wrapText="0" indent="0" justifyLastLine="0" shrinkToFit="0" readingOrder="0"/>
    </dxf>
    <dxf>
      <border outline="0">
        <bottom style="double">
          <color rgb="FF3F3F3F"/>
        </bottom>
      </border>
    </dxf>
    <dxf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  <border diagonalUp="0" diagonalDown="0" outline="0">
        <left style="double">
          <color rgb="FF3F3F3F"/>
        </left>
        <right style="double">
          <color rgb="FF3F3F3F"/>
        </right>
        <top/>
        <bottom/>
      </border>
    </dxf>
    <dxf>
      <font>
        <b val="0"/>
        <i val="0"/>
        <color theme="1"/>
      </font>
      <fill>
        <patternFill>
          <bgColor theme="2" tint="-9.9948118533890809E-2"/>
        </patternFill>
      </fill>
    </dxf>
  </dxfs>
  <tableStyles count="1" defaultTableStyle="TableStyleMedium2" defaultPivotStyle="PivotStyleLight16">
    <tableStyle name="Estilo de Tabela 1" pivot="0" count="1" xr9:uid="{00000000-0011-0000-FFFF-FFFF00000000}">
      <tableStyleElement type="firstColumn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2:G53" totalsRowCount="1" headerRowDxfId="33" dataDxfId="31" headerRowBorderDxfId="32" tableBorderDxfId="30" headerRowCellStyle="Célula de Verificação">
  <autoFilter ref="A2:G52" xr:uid="{00000000-0009-0000-0100-000003000000}"/>
  <tableColumns count="7">
    <tableColumn id="1" xr3:uid="{00000000-0010-0000-0000-000001000000}" name="AMOSTRA" dataDxfId="29" totalsRowDxfId="28"/>
    <tableColumn id="2" xr3:uid="{00000000-0010-0000-0000-000002000000}" name="LARGURA (cm)" dataDxfId="27" totalsRowDxfId="26"/>
    <tableColumn id="5" xr3:uid="{00000000-0010-0000-0000-000005000000}" name="x1-média" totalsRowFunction="custom" dataDxfId="25" totalsRowDxfId="24">
      <calculatedColumnFormula>(Tabela3[[#This Row],[LARGURA (cm)]]-$K$2)^2</calculatedColumnFormula>
      <totalsRowFormula>SUM(Tabela3[x1-média])</totalsRowFormula>
    </tableColumn>
    <tableColumn id="3" xr3:uid="{00000000-0010-0000-0000-000003000000}" name="COMPRIMENTO (cm)" dataDxfId="23" totalsRowDxfId="22"/>
    <tableColumn id="7" xr3:uid="{00000000-0010-0000-0000-000007000000}" name="Coluna1" totalsRowFunction="sum" dataDxfId="21" totalsRowDxfId="20">
      <calculatedColumnFormula>(Tabela3[[#This Row],[COMPRIMENTO (cm)]]-$K$3)^2</calculatedColumnFormula>
    </tableColumn>
    <tableColumn id="4" xr3:uid="{00000000-0010-0000-0000-000004000000}" name="ESPESSURA (cm)" totalsRowFunction="sum" dataDxfId="19" totalsRowDxfId="18"/>
    <tableColumn id="8" xr3:uid="{00000000-0010-0000-0000-000008000000}" name="Coluna2" totalsRowFunction="sum" dataDxfId="17" totalsRowDxfId="16">
      <calculatedColumnFormula>(Tabela3[[#This Row],[ESPESSURA (cm)]]-$K$4)^2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ela6" displayName="Tabela6" ref="A2:G53" totalsRowCount="1" headerRowDxfId="15" dataDxfId="14" headerRowCellStyle="Célula de Verificação">
  <autoFilter ref="A2:G52" xr:uid="{00000000-0009-0000-0100-000006000000}"/>
  <tableColumns count="7">
    <tableColumn id="1" xr3:uid="{00000000-0010-0000-0100-000001000000}" name="AMOSTRA" dataDxfId="13" totalsRowDxfId="12"/>
    <tableColumn id="2" xr3:uid="{00000000-0010-0000-0100-000002000000}" name="LARGURA (mm)" dataDxfId="11" totalsRowDxfId="10"/>
    <tableColumn id="5" xr3:uid="{00000000-0010-0000-0100-000005000000}" name="xi-média" totalsRowFunction="sum" dataDxfId="9" totalsRowDxfId="8">
      <calculatedColumnFormula>(Tabela6[[#This Row],[LARGURA (mm)]]-$K$3)^2</calculatedColumnFormula>
    </tableColumn>
    <tableColumn id="3" xr3:uid="{00000000-0010-0000-0100-000003000000}" name="COMPRIMENTO (mm)" dataDxfId="7" totalsRowDxfId="6"/>
    <tableColumn id="6" xr3:uid="{00000000-0010-0000-0100-000006000000}" name="Coluna2" totalsRowFunction="sum" dataDxfId="5" totalsRowDxfId="4">
      <calculatedColumnFormula>(Tabela6[[#This Row],[COMPRIMENTO (mm)]]-$K$3)^2</calculatedColumnFormula>
    </tableColumn>
    <tableColumn id="4" xr3:uid="{00000000-0010-0000-0100-000004000000}" name="ESPESSURA (mm)" dataDxfId="3" totalsRowDxfId="2"/>
    <tableColumn id="7" xr3:uid="{00000000-0010-0000-0100-000007000000}" name="Coluna1" totalsRowFunction="sum" dataDxfId="1" totalsRowDxfId="0">
      <calculatedColumnFormula>(Tabela6[[#This Row],[ESPESSURA (mm)]]-$K$4)^2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opLeftCell="F1" workbookViewId="0">
      <selection activeCell="K2" sqref="K2"/>
    </sheetView>
  </sheetViews>
  <sheetFormatPr defaultRowHeight="14.4" x14ac:dyDescent="0.3"/>
  <cols>
    <col min="1" max="1" width="14.109375" bestFit="1" customWidth="1"/>
    <col min="2" max="2" width="18" bestFit="1" customWidth="1"/>
    <col min="3" max="3" width="18" customWidth="1"/>
    <col min="4" max="4" width="23.44140625" bestFit="1" customWidth="1"/>
    <col min="5" max="5" width="23.44140625" customWidth="1"/>
    <col min="6" max="6" width="19.6640625" bestFit="1" customWidth="1"/>
    <col min="7" max="7" width="19.6640625" customWidth="1"/>
    <col min="9" max="9" width="13.33203125" customWidth="1"/>
    <col min="10" max="10" width="14.5546875" customWidth="1"/>
    <col min="12" max="12" width="4.44140625" customWidth="1"/>
    <col min="13" max="14" width="10.21875" bestFit="1" customWidth="1"/>
    <col min="15" max="15" width="13.109375" customWidth="1"/>
    <col min="16" max="16" width="10.21875" bestFit="1" customWidth="1"/>
    <col min="17" max="17" width="11.77734375" customWidth="1"/>
    <col min="18" max="18" width="15.77734375" customWidth="1"/>
    <col min="21" max="21" width="19.77734375" customWidth="1"/>
  </cols>
  <sheetData>
    <row r="1" spans="1:21" ht="15.6" thickTop="1" thickBot="1" x14ac:dyDescent="0.35">
      <c r="A1" s="55" t="s">
        <v>9</v>
      </c>
      <c r="B1" s="56"/>
      <c r="C1" s="56"/>
      <c r="D1" s="56"/>
      <c r="E1" s="56"/>
      <c r="F1" s="57"/>
      <c r="G1" s="37"/>
      <c r="H1" s="1"/>
      <c r="I1" s="65" t="s">
        <v>7</v>
      </c>
      <c r="J1" s="66"/>
      <c r="K1" s="67"/>
      <c r="M1" s="64" t="s">
        <v>13</v>
      </c>
      <c r="N1" s="64"/>
      <c r="O1" s="64"/>
      <c r="P1">
        <v>76.8</v>
      </c>
    </row>
    <row r="2" spans="1:21" ht="15.6" thickTop="1" thickBot="1" x14ac:dyDescent="0.35">
      <c r="A2" s="4" t="s">
        <v>1</v>
      </c>
      <c r="B2" s="4" t="s">
        <v>14</v>
      </c>
      <c r="C2" s="4" t="s">
        <v>29</v>
      </c>
      <c r="D2" s="4" t="s">
        <v>15</v>
      </c>
      <c r="E2" s="4" t="s">
        <v>28</v>
      </c>
      <c r="F2" s="4" t="s">
        <v>16</v>
      </c>
      <c r="G2" s="4" t="s">
        <v>52</v>
      </c>
      <c r="I2" s="61" t="s">
        <v>5</v>
      </c>
      <c r="J2" s="7" t="s">
        <v>2</v>
      </c>
      <c r="K2" s="29">
        <f>AVERAGE(B3:B52)</f>
        <v>6.2523999999999988</v>
      </c>
    </row>
    <row r="3" spans="1:21" ht="15.6" thickTop="1" thickBot="1" x14ac:dyDescent="0.35">
      <c r="A3" s="2">
        <v>1</v>
      </c>
      <c r="B3" s="34">
        <v>5.66</v>
      </c>
      <c r="C3" s="34">
        <f>(Tabela3[[#This Row],[LARGURA (cm)]]-$K$2)^2</f>
        <v>0.35093775999999849</v>
      </c>
      <c r="D3" s="34">
        <v>6.57</v>
      </c>
      <c r="E3" s="34">
        <f>(Tabela3[[#This Row],[COMPRIMENTO (cm)]]-$K$3)^2</f>
        <v>1.4913294400000057</v>
      </c>
      <c r="F3" s="34">
        <v>2.4300000000000002</v>
      </c>
      <c r="G3" s="34">
        <f>(Tabela3[[#This Row],[ESPESSURA (cm)]]-$K$4)^2</f>
        <v>9.2172959999999651E-2</v>
      </c>
      <c r="I3" s="62"/>
      <c r="J3" s="8" t="s">
        <v>3</v>
      </c>
      <c r="K3" s="30">
        <f>AVERAGE(D3:D52)</f>
        <v>7.7912000000000026</v>
      </c>
    </row>
    <row r="4" spans="1:21" ht="15" thickBot="1" x14ac:dyDescent="0.35">
      <c r="A4" s="2">
        <v>2</v>
      </c>
      <c r="B4" s="34">
        <v>6.49</v>
      </c>
      <c r="C4" s="34">
        <f>(Tabela3[[#This Row],[LARGURA (cm)]]-$K$2)^2</f>
        <v>5.6453760000000651E-2</v>
      </c>
      <c r="D4" s="34">
        <v>8.15</v>
      </c>
      <c r="E4" s="34">
        <f>(Tabela3[[#This Row],[COMPRIMENTO (cm)]]-$K$3)^2</f>
        <v>0.1287374399999984</v>
      </c>
      <c r="F4" s="34">
        <v>2.8</v>
      </c>
      <c r="G4" s="34">
        <f>(Tabela3[[#This Row],[ESPESSURA (cm)]]-$K$4)^2</f>
        <v>4.4089600000000312E-3</v>
      </c>
      <c r="I4" s="63"/>
      <c r="J4" s="5" t="s">
        <v>4</v>
      </c>
      <c r="K4" s="31">
        <f>AVERAGE(F3:F52)</f>
        <v>2.7335999999999996</v>
      </c>
      <c r="N4" s="18"/>
      <c r="O4" s="18"/>
      <c r="R4" s="61" t="s">
        <v>8</v>
      </c>
      <c r="S4" s="7" t="s">
        <v>2</v>
      </c>
      <c r="T4" s="29">
        <f>MODE(Tabela3[LARGURA (cm)])</f>
        <v>5.66</v>
      </c>
    </row>
    <row r="5" spans="1:21" x14ac:dyDescent="0.3">
      <c r="A5" s="2">
        <v>3</v>
      </c>
      <c r="B5" s="34">
        <v>6.72</v>
      </c>
      <c r="C5" s="34">
        <f>(Tabela3[[#This Row],[LARGURA (cm)]]-$K$2)^2</f>
        <v>0.21864976000000086</v>
      </c>
      <c r="D5" s="34">
        <v>8.48</v>
      </c>
      <c r="E5" s="34">
        <f>(Tabela3[[#This Row],[COMPRIMENTO (cm)]]-$K$3)^2</f>
        <v>0.47444543999999705</v>
      </c>
      <c r="F5" s="34">
        <v>2.83</v>
      </c>
      <c r="G5" s="34">
        <f>(Tabela3[[#This Row],[ESPESSURA (cm)]]-$K$4)^2</f>
        <v>9.2929600000000931E-3</v>
      </c>
      <c r="I5" s="61" t="s">
        <v>6</v>
      </c>
      <c r="J5" s="7" t="s">
        <v>2</v>
      </c>
      <c r="K5" s="29">
        <f>MEDIAN(B3:B52)</f>
        <v>6.2850000000000001</v>
      </c>
      <c r="M5" s="15"/>
      <c r="N5" s="15"/>
      <c r="O5" s="16"/>
      <c r="R5" s="62"/>
      <c r="S5" s="8" t="s">
        <v>3</v>
      </c>
      <c r="T5" s="30">
        <f>_xlfn.MODE.SNGL(Tabela3[COMPRIMENTO (cm)])</f>
        <v>8</v>
      </c>
    </row>
    <row r="6" spans="1:21" ht="15" thickBot="1" x14ac:dyDescent="0.35">
      <c r="A6" s="2">
        <v>4</v>
      </c>
      <c r="B6" s="34">
        <v>6.26</v>
      </c>
      <c r="C6" s="34">
        <f>(Tabela3[[#This Row],[LARGURA (cm)]]-$K$2)^2</f>
        <v>5.776000000001428E-5</v>
      </c>
      <c r="D6" s="34">
        <v>8.11</v>
      </c>
      <c r="E6" s="34">
        <f>(Tabela3[[#This Row],[COMPRIMENTO (cm)]]-$K$3)^2</f>
        <v>0.10163343999999801</v>
      </c>
      <c r="F6" s="34">
        <v>2.41</v>
      </c>
      <c r="G6" s="34">
        <f>(Tabela3[[#This Row],[ESPESSURA (cm)]]-$K$4)^2</f>
        <v>0.10471695999999964</v>
      </c>
      <c r="I6" s="62"/>
      <c r="J6" s="8" t="s">
        <v>3</v>
      </c>
      <c r="K6" s="30">
        <f>MEDIAN(D3:D52)</f>
        <v>7.82</v>
      </c>
      <c r="M6" s="15"/>
      <c r="N6" s="15"/>
      <c r="O6" s="16"/>
      <c r="R6" s="63"/>
      <c r="S6" s="5" t="s">
        <v>4</v>
      </c>
      <c r="T6" s="31">
        <f>_xlfn.MODE.SNGL(Tabela3[ESPESSURA (cm)])</f>
        <v>2.8</v>
      </c>
    </row>
    <row r="7" spans="1:21" ht="15" thickBot="1" x14ac:dyDescent="0.35">
      <c r="A7" s="2">
        <v>5</v>
      </c>
      <c r="B7" s="34">
        <v>6.01</v>
      </c>
      <c r="C7" s="34">
        <f>(Tabela3[[#This Row],[LARGURA (cm)]]-$K$2)^2</f>
        <v>5.8757759999999541E-2</v>
      </c>
      <c r="D7" s="34">
        <v>7.57</v>
      </c>
      <c r="E7" s="34">
        <f>(Tabela3[[#This Row],[COMPRIMENTO (cm)]]-$K$3)^2</f>
        <v>4.8929440000001011E-2</v>
      </c>
      <c r="F7" s="34">
        <v>2.41</v>
      </c>
      <c r="G7" s="34">
        <f>(Tabela3[[#This Row],[ESPESSURA (cm)]]-$K$4)^2</f>
        <v>0.10471695999999964</v>
      </c>
      <c r="I7" s="63"/>
      <c r="J7" s="5" t="s">
        <v>4</v>
      </c>
      <c r="K7" s="31">
        <f>MEDIAN(F3:F52)</f>
        <v>2.7250000000000001</v>
      </c>
      <c r="M7" s="15"/>
      <c r="N7" s="15"/>
      <c r="O7" s="16"/>
    </row>
    <row r="8" spans="1:21" ht="15" thickBot="1" x14ac:dyDescent="0.35">
      <c r="A8" s="2">
        <v>6</v>
      </c>
      <c r="B8" s="34">
        <v>6.78</v>
      </c>
      <c r="C8" s="34">
        <f>(Tabela3[[#This Row],[LARGURA (cm)]]-$K$2)^2</f>
        <v>0.27836176000000146</v>
      </c>
      <c r="D8" s="34">
        <v>7.19</v>
      </c>
      <c r="E8" s="34">
        <f>(Tabela3[[#This Row],[COMPRIMENTO (cm)]]-$K$3)^2</f>
        <v>0.36144144000000261</v>
      </c>
      <c r="F8" s="34">
        <v>2.59</v>
      </c>
      <c r="G8" s="34">
        <f>(Tabela3[[#This Row],[ESPESSURA (cm)]]-$K$4)^2</f>
        <v>2.0620959999999921E-2</v>
      </c>
      <c r="I8" s="58" t="s">
        <v>10</v>
      </c>
      <c r="J8" s="9" t="s">
        <v>2</v>
      </c>
      <c r="K8" s="29">
        <f>_xlfn.STDEV.S(B3:B52)</f>
        <v>0.55119373237750524</v>
      </c>
      <c r="M8" s="68" t="s">
        <v>59</v>
      </c>
      <c r="N8" s="68"/>
      <c r="O8" s="68"/>
      <c r="P8" s="68"/>
      <c r="Q8" s="68"/>
      <c r="R8" s="68"/>
      <c r="S8" s="68"/>
      <c r="T8" s="68"/>
      <c r="U8" s="68"/>
    </row>
    <row r="9" spans="1:21" ht="15" thickBot="1" x14ac:dyDescent="0.35">
      <c r="A9" s="2">
        <v>7</v>
      </c>
      <c r="B9" s="34">
        <v>6.43</v>
      </c>
      <c r="C9" s="34">
        <f>(Tabela3[[#This Row],[LARGURA (cm)]]-$K$2)^2</f>
        <v>3.1541760000000307E-2</v>
      </c>
      <c r="D9" s="34">
        <v>7.46</v>
      </c>
      <c r="E9" s="34">
        <f>(Tabela3[[#This Row],[COMPRIMENTO (cm)]]-$K$3)^2</f>
        <v>0.10969344000000172</v>
      </c>
      <c r="F9" s="34">
        <v>2.86</v>
      </c>
      <c r="G9" s="34">
        <f>(Tabela3[[#This Row],[ESPESSURA (cm)]]-$K$4)^2</f>
        <v>1.5976960000000075E-2</v>
      </c>
      <c r="I9" s="59"/>
      <c r="J9" s="10" t="s">
        <v>3</v>
      </c>
      <c r="K9" s="30">
        <f>_xlfn.STDEV.S(D3:D52)</f>
        <v>0.90267547901121492</v>
      </c>
      <c r="M9" s="69" t="s">
        <v>39</v>
      </c>
      <c r="N9" s="70"/>
      <c r="O9" s="70"/>
    </row>
    <row r="10" spans="1:21" ht="15" thickBot="1" x14ac:dyDescent="0.35">
      <c r="A10" s="2">
        <v>8</v>
      </c>
      <c r="B10" s="34">
        <v>5.65</v>
      </c>
      <c r="C10" s="34">
        <f>(Tabela3[[#This Row],[LARGURA (cm)]]-$K$2)^2</f>
        <v>0.36288575999999817</v>
      </c>
      <c r="D10" s="34">
        <v>8</v>
      </c>
      <c r="E10" s="34">
        <f>(Tabela3[[#This Row],[COMPRIMENTO (cm)]]-$K$3)^2</f>
        <v>4.3597439999998926E-2</v>
      </c>
      <c r="F10" s="34">
        <v>2.48</v>
      </c>
      <c r="G10" s="34">
        <f>(Tabela3[[#This Row],[ESPESSURA (cm)]]-$K$4)^2</f>
        <v>6.4312959999999794E-2</v>
      </c>
      <c r="I10" s="60"/>
      <c r="J10" s="6" t="s">
        <v>4</v>
      </c>
      <c r="K10" s="31">
        <f>_xlfn.STDEV.S(F3:F52)</f>
        <v>0.25526105085114859</v>
      </c>
      <c r="M10" s="38" t="s">
        <v>18</v>
      </c>
      <c r="N10" s="18" t="s">
        <v>19</v>
      </c>
      <c r="O10" s="18" t="s">
        <v>20</v>
      </c>
    </row>
    <row r="11" spans="1:21" x14ac:dyDescent="0.3">
      <c r="A11" s="2">
        <v>9</v>
      </c>
      <c r="B11" s="34">
        <v>6.79</v>
      </c>
      <c r="C11" s="34">
        <f>(Tabela3[[#This Row],[LARGURA (cm)]]-$K$2)^2</f>
        <v>0.28901376000000129</v>
      </c>
      <c r="D11" s="34">
        <v>8.7100000000000009</v>
      </c>
      <c r="E11" s="34">
        <f>(Tabela3[[#This Row],[COMPRIMENTO (cm)]]-$K$3)^2</f>
        <v>0.84419343999999685</v>
      </c>
      <c r="F11" s="34">
        <v>3.01</v>
      </c>
      <c r="G11" s="34">
        <f>(Tabela3[[#This Row],[ESPESSURA (cm)]]-$K$4)^2</f>
        <v>7.6396960000000111E-2</v>
      </c>
      <c r="I11" s="58" t="s">
        <v>11</v>
      </c>
      <c r="J11" s="9" t="s">
        <v>2</v>
      </c>
      <c r="K11" s="29">
        <f>MAX(B3:B52)</f>
        <v>7.16</v>
      </c>
      <c r="M11" s="40" t="s">
        <v>31</v>
      </c>
      <c r="N11" s="33">
        <v>1</v>
      </c>
      <c r="O11" s="44">
        <f t="shared" ref="O11:O19" si="0">N11/50%</f>
        <v>2</v>
      </c>
    </row>
    <row r="12" spans="1:21" x14ac:dyDescent="0.3">
      <c r="A12" s="2">
        <v>10</v>
      </c>
      <c r="B12" s="34">
        <v>6.88</v>
      </c>
      <c r="C12" s="34">
        <f>(Tabela3[[#This Row],[LARGURA (cm)]]-$K$2)^2</f>
        <v>0.3938817600000013</v>
      </c>
      <c r="D12" s="34">
        <v>9.11</v>
      </c>
      <c r="E12" s="34">
        <f>(Tabela3[[#This Row],[COMPRIMENTO (cm)]]-$K$3)^2</f>
        <v>1.7392334399999918</v>
      </c>
      <c r="F12" s="34">
        <v>2.67</v>
      </c>
      <c r="G12" s="34">
        <f>(Tabela3[[#This Row],[ESPESSURA (cm)]]-$K$4)^2</f>
        <v>4.044959999999956E-3</v>
      </c>
      <c r="I12" s="59"/>
      <c r="J12" s="10" t="s">
        <v>3</v>
      </c>
      <c r="K12" s="30">
        <f>MAX(D3:D52)</f>
        <v>9.9499999999999993</v>
      </c>
      <c r="M12" s="40" t="s">
        <v>32</v>
      </c>
      <c r="N12" s="33">
        <v>3</v>
      </c>
      <c r="O12" s="44">
        <f t="shared" si="0"/>
        <v>6</v>
      </c>
    </row>
    <row r="13" spans="1:21" ht="15" thickBot="1" x14ac:dyDescent="0.35">
      <c r="A13" s="2">
        <v>11</v>
      </c>
      <c r="B13" s="34">
        <v>5.35</v>
      </c>
      <c r="C13" s="34">
        <f>(Tabela3[[#This Row],[LARGURA (cm)]]-$K$2)^2</f>
        <v>0.81432575999999857</v>
      </c>
      <c r="D13" s="34">
        <v>6.84</v>
      </c>
      <c r="E13" s="34">
        <f>(Tabela3[[#This Row],[COMPRIMENTO (cm)]]-$K$3)^2</f>
        <v>0.90478144000000515</v>
      </c>
      <c r="F13" s="34">
        <v>2.3199999999999998</v>
      </c>
      <c r="G13" s="34">
        <f>(Tabela3[[#This Row],[ESPESSURA (cm)]]-$K$4)^2</f>
        <v>0.17106495999999979</v>
      </c>
      <c r="I13" s="60"/>
      <c r="J13" s="6" t="s">
        <v>4</v>
      </c>
      <c r="K13" s="31">
        <f>MAX(F3:F52)</f>
        <v>3.21</v>
      </c>
      <c r="M13" s="40" t="s">
        <v>33</v>
      </c>
      <c r="N13" s="33">
        <v>8</v>
      </c>
      <c r="O13" s="44">
        <f t="shared" si="0"/>
        <v>16</v>
      </c>
    </row>
    <row r="14" spans="1:21" x14ac:dyDescent="0.3">
      <c r="A14" s="2">
        <v>12</v>
      </c>
      <c r="B14" s="34">
        <v>6.93</v>
      </c>
      <c r="C14" s="34">
        <f>(Tabela3[[#This Row],[LARGURA (cm)]]-$K$2)^2</f>
        <v>0.45914176000000118</v>
      </c>
      <c r="D14" s="34">
        <v>8.86</v>
      </c>
      <c r="E14" s="34">
        <f>(Tabela3[[#This Row],[COMPRIMENTO (cm)]]-$K$3)^2</f>
        <v>1.1423334399999934</v>
      </c>
      <c r="F14" s="34">
        <v>2.92</v>
      </c>
      <c r="G14" s="34">
        <f>(Tabela3[[#This Row],[ESPESSURA (cm)]]-$K$4)^2</f>
        <v>3.474496000000013E-2</v>
      </c>
      <c r="I14" s="61" t="s">
        <v>12</v>
      </c>
      <c r="J14" s="9" t="s">
        <v>2</v>
      </c>
      <c r="K14" s="29">
        <f>MIN(B3:B52)</f>
        <v>5.0999999999999996</v>
      </c>
      <c r="M14" s="40" t="s">
        <v>34</v>
      </c>
      <c r="N14" s="33">
        <v>4</v>
      </c>
      <c r="O14" s="44">
        <f t="shared" si="0"/>
        <v>8</v>
      </c>
    </row>
    <row r="15" spans="1:21" x14ac:dyDescent="0.3">
      <c r="A15" s="2">
        <v>13</v>
      </c>
      <c r="B15" s="34">
        <v>6.55</v>
      </c>
      <c r="C15" s="34">
        <f>(Tabela3[[#This Row],[LARGURA (cm)]]-$K$2)^2</f>
        <v>8.8565760000000576E-2</v>
      </c>
      <c r="D15" s="34">
        <v>7.72</v>
      </c>
      <c r="E15" s="34">
        <f>(Tabela3[[#This Row],[COMPRIMENTO (cm)]]-$K$3)^2</f>
        <v>5.0694400000004013E-3</v>
      </c>
      <c r="F15" s="34">
        <v>2.61</v>
      </c>
      <c r="G15" s="34">
        <f>(Tabela3[[#This Row],[ESPESSURA (cm)]]-$K$4)^2</f>
        <v>1.5276959999999928E-2</v>
      </c>
      <c r="I15" s="62"/>
      <c r="J15" s="10" t="s">
        <v>3</v>
      </c>
      <c r="K15" s="30">
        <f>MIN(D3:D52)</f>
        <v>5.73</v>
      </c>
      <c r="M15" s="40" t="s">
        <v>35</v>
      </c>
      <c r="N15" s="33">
        <v>10</v>
      </c>
      <c r="O15" s="44">
        <f t="shared" si="0"/>
        <v>20</v>
      </c>
    </row>
    <row r="16" spans="1:21" ht="15" thickBot="1" x14ac:dyDescent="0.35">
      <c r="A16" s="2">
        <v>14</v>
      </c>
      <c r="B16" s="34">
        <v>5.0999999999999996</v>
      </c>
      <c r="C16" s="34">
        <f>(Tabela3[[#This Row],[LARGURA (cm)]]-$K$2)^2</f>
        <v>1.3280257599999981</v>
      </c>
      <c r="D16" s="34">
        <v>5.93</v>
      </c>
      <c r="E16" s="34">
        <f>(Tabela3[[#This Row],[COMPRIMENTO (cm)]]-$K$3)^2</f>
        <v>3.4640654400000108</v>
      </c>
      <c r="F16" s="34">
        <v>2.08</v>
      </c>
      <c r="G16" s="34">
        <f>(Tabela3[[#This Row],[ESPESSURA (cm)]]-$K$4)^2</f>
        <v>0.42719295999999934</v>
      </c>
      <c r="I16" s="63"/>
      <c r="J16" s="6" t="s">
        <v>4</v>
      </c>
      <c r="K16" s="31">
        <f>MIN(F3:F52)</f>
        <v>2.08</v>
      </c>
      <c r="M16" s="40" t="s">
        <v>36</v>
      </c>
      <c r="N16" s="33">
        <v>9</v>
      </c>
      <c r="O16" s="44">
        <f t="shared" si="0"/>
        <v>18</v>
      </c>
    </row>
    <row r="17" spans="1:20" ht="15" thickBot="1" x14ac:dyDescent="0.35">
      <c r="A17" s="2">
        <v>15</v>
      </c>
      <c r="B17" s="34">
        <v>6.71</v>
      </c>
      <c r="C17" s="34">
        <f>(Tabela3[[#This Row],[LARGURA (cm)]]-$K$2)^2</f>
        <v>0.20939776000000102</v>
      </c>
      <c r="D17" s="34">
        <v>8.31</v>
      </c>
      <c r="E17" s="34">
        <f>(Tabela3[[#This Row],[COMPRIMENTO (cm)]]-$K$3)^2</f>
        <v>0.26915343999999786</v>
      </c>
      <c r="F17" s="34">
        <v>3.12</v>
      </c>
      <c r="G17" s="34">
        <f>(Tabela3[[#This Row],[ESPESSURA (cm)]]-$K$4)^2</f>
        <v>0.1493049600000004</v>
      </c>
      <c r="M17" s="40" t="s">
        <v>37</v>
      </c>
      <c r="N17" s="33">
        <v>9</v>
      </c>
      <c r="O17" s="44">
        <f t="shared" si="0"/>
        <v>18</v>
      </c>
      <c r="R17" s="52" t="s">
        <v>49</v>
      </c>
      <c r="S17" s="53"/>
      <c r="T17" s="54"/>
    </row>
    <row r="18" spans="1:20" x14ac:dyDescent="0.3">
      <c r="A18" s="2">
        <v>16</v>
      </c>
      <c r="B18" s="34">
        <v>5.56</v>
      </c>
      <c r="C18" s="34">
        <f>(Tabela3[[#This Row],[LARGURA (cm)]]-$K$2)^2</f>
        <v>0.47941775999999897</v>
      </c>
      <c r="D18" s="34">
        <v>6.25</v>
      </c>
      <c r="E18" s="34">
        <f>(Tabela3[[#This Row],[COMPRIMENTO (cm)]]-$K$3)^2</f>
        <v>2.3752974400000078</v>
      </c>
      <c r="F18" s="34">
        <v>2.16</v>
      </c>
      <c r="G18" s="34">
        <f>(Tabela3[[#This Row],[ESPESSURA (cm)]]-$K$4)^2</f>
        <v>0.32901695999999936</v>
      </c>
      <c r="M18" s="40" t="s">
        <v>38</v>
      </c>
      <c r="N18" s="33">
        <v>6</v>
      </c>
      <c r="O18" s="44">
        <f t="shared" si="0"/>
        <v>12</v>
      </c>
      <c r="R18" s="38" t="s">
        <v>18</v>
      </c>
      <c r="S18" s="18" t="s">
        <v>19</v>
      </c>
      <c r="T18" s="39" t="s">
        <v>20</v>
      </c>
    </row>
    <row r="19" spans="1:20" ht="15" thickBot="1" x14ac:dyDescent="0.35">
      <c r="A19" s="2">
        <v>17</v>
      </c>
      <c r="B19" s="34">
        <v>7.03</v>
      </c>
      <c r="C19" s="34">
        <f>(Tabela3[[#This Row],[LARGURA (cm)]]-$K$2)^2</f>
        <v>0.60466176000000216</v>
      </c>
      <c r="D19" s="34">
        <v>7.88</v>
      </c>
      <c r="E19" s="34">
        <f>(Tabela3[[#This Row],[COMPRIMENTO (cm)]]-$K$3)^2</f>
        <v>7.8854399999995252E-3</v>
      </c>
      <c r="F19" s="34">
        <v>2.97</v>
      </c>
      <c r="G19" s="34">
        <f>(Tabela3[[#This Row],[ESPESSURA (cm)]]-$K$4)^2</f>
        <v>5.5884960000000289E-2</v>
      </c>
      <c r="M19" s="42" t="s">
        <v>21</v>
      </c>
      <c r="N19" s="32">
        <f>SUM(N11:N18)</f>
        <v>50</v>
      </c>
      <c r="O19" s="19">
        <f t="shared" si="0"/>
        <v>100</v>
      </c>
      <c r="R19" s="40" t="s">
        <v>40</v>
      </c>
      <c r="S19" s="33">
        <v>2</v>
      </c>
      <c r="T19" s="41">
        <f>S19/50%</f>
        <v>4</v>
      </c>
    </row>
    <row r="20" spans="1:20" x14ac:dyDescent="0.3">
      <c r="A20" s="2">
        <v>18</v>
      </c>
      <c r="B20" s="34">
        <v>6.19</v>
      </c>
      <c r="C20" s="34">
        <f>(Tabela3[[#This Row],[LARGURA (cm)]]-$K$2)^2</f>
        <v>3.8937599999998075E-3</v>
      </c>
      <c r="D20" s="34">
        <v>7.99</v>
      </c>
      <c r="E20" s="34">
        <f>(Tabela3[[#This Row],[COMPRIMENTO (cm)]]-$K$3)^2</f>
        <v>3.9521439999999061E-2</v>
      </c>
      <c r="F20" s="34">
        <v>3.06</v>
      </c>
      <c r="G20" s="34">
        <f>(Tabela3[[#This Row],[ESPESSURA (cm)]]-$K$4)^2</f>
        <v>0.10653696000000031</v>
      </c>
      <c r="I20" s="49" t="s">
        <v>27</v>
      </c>
      <c r="J20" s="9" t="s">
        <v>2</v>
      </c>
      <c r="R20" s="40" t="s">
        <v>42</v>
      </c>
      <c r="S20" s="33">
        <v>4</v>
      </c>
      <c r="T20" s="41">
        <f t="shared" ref="T20:T28" si="1">S20/50%</f>
        <v>8</v>
      </c>
    </row>
    <row r="21" spans="1:20" x14ac:dyDescent="0.3">
      <c r="A21" s="2">
        <v>19</v>
      </c>
      <c r="B21" s="34">
        <v>6.31</v>
      </c>
      <c r="C21" s="34">
        <f>(Tabela3[[#This Row],[LARGURA (cm)]]-$K$2)^2</f>
        <v>3.3177600000000879E-3</v>
      </c>
      <c r="D21" s="34">
        <v>6.95</v>
      </c>
      <c r="E21" s="34">
        <f>(Tabela3[[#This Row],[COMPRIMENTO (cm)]]-$K$3)^2</f>
        <v>0.70761744000000404</v>
      </c>
      <c r="F21" s="34">
        <v>2.62</v>
      </c>
      <c r="G21" s="34">
        <f>(Tabela3[[#This Row],[ESPESSURA (cm)]]-$K$4)^2</f>
        <v>1.2904959999999882E-2</v>
      </c>
      <c r="I21" s="50"/>
      <c r="J21" s="10" t="s">
        <v>3</v>
      </c>
      <c r="R21" s="40" t="s">
        <v>41</v>
      </c>
      <c r="S21" s="33">
        <v>8</v>
      </c>
      <c r="T21" s="41">
        <f t="shared" si="1"/>
        <v>16</v>
      </c>
    </row>
    <row r="22" spans="1:20" ht="15" thickBot="1" x14ac:dyDescent="0.35">
      <c r="A22" s="2">
        <v>20</v>
      </c>
      <c r="B22" s="34">
        <v>6.66</v>
      </c>
      <c r="C22" s="34">
        <f>(Tabela3[[#This Row],[LARGURA (cm)]]-$K$2)^2</f>
        <v>0.16613776000000105</v>
      </c>
      <c r="D22" s="34">
        <v>7.55</v>
      </c>
      <c r="E22" s="34">
        <f>(Tabela3[[#This Row],[COMPRIMENTO (cm)]]-$K$3)^2</f>
        <v>5.8177440000001322E-2</v>
      </c>
      <c r="F22" s="34">
        <v>2.95</v>
      </c>
      <c r="G22" s="34">
        <f>(Tabela3[[#This Row],[ESPESSURA (cm)]]-$K$4)^2</f>
        <v>4.682896000000026E-2</v>
      </c>
      <c r="I22" s="50"/>
      <c r="J22" s="6" t="s">
        <v>4</v>
      </c>
      <c r="R22" s="40" t="s">
        <v>43</v>
      </c>
      <c r="S22" s="33">
        <v>7</v>
      </c>
      <c r="T22" s="41">
        <f t="shared" si="1"/>
        <v>14</v>
      </c>
    </row>
    <row r="23" spans="1:20" x14ac:dyDescent="0.3">
      <c r="A23" s="2">
        <v>21</v>
      </c>
      <c r="B23" s="34">
        <v>5.53</v>
      </c>
      <c r="C23" s="34">
        <f>(Tabela3[[#This Row],[LARGURA (cm)]]-$K$2)^2</f>
        <v>0.52186175999999795</v>
      </c>
      <c r="D23" s="34">
        <v>6.66</v>
      </c>
      <c r="E23" s="34">
        <f>(Tabela3[[#This Row],[COMPRIMENTO (cm)]]-$K$3)^2</f>
        <v>1.2796134400000054</v>
      </c>
      <c r="F23" s="34">
        <v>2.81</v>
      </c>
      <c r="G23" s="34">
        <f>(Tabela3[[#This Row],[ESPESSURA (cm)]]-$K$4)^2</f>
        <v>5.8369600000000715E-3</v>
      </c>
      <c r="R23" s="40" t="s">
        <v>44</v>
      </c>
      <c r="S23" s="33">
        <v>14</v>
      </c>
      <c r="T23" s="41">
        <f t="shared" si="1"/>
        <v>28</v>
      </c>
    </row>
    <row r="24" spans="1:20" x14ac:dyDescent="0.3">
      <c r="A24" s="2">
        <v>22</v>
      </c>
      <c r="B24" s="34">
        <v>5.42</v>
      </c>
      <c r="C24" s="34">
        <f>(Tabela3[[#This Row],[LARGURA (cm)]]-$K$2)^2</f>
        <v>0.69288975999999824</v>
      </c>
      <c r="D24" s="34">
        <v>7.09</v>
      </c>
      <c r="E24" s="34">
        <f>(Tabela3[[#This Row],[COMPRIMENTO (cm)]]-$K$3)^2</f>
        <v>0.4916814400000038</v>
      </c>
      <c r="F24" s="34">
        <v>2.56</v>
      </c>
      <c r="G24" s="34">
        <f>(Tabela3[[#This Row],[ESPESSURA (cm)]]-$K$4)^2</f>
        <v>3.0136959999999838E-2</v>
      </c>
      <c r="R24" s="40" t="s">
        <v>45</v>
      </c>
      <c r="S24" s="33">
        <v>6</v>
      </c>
      <c r="T24" s="41">
        <f t="shared" si="1"/>
        <v>12</v>
      </c>
    </row>
    <row r="25" spans="1:20" x14ac:dyDescent="0.3">
      <c r="A25" s="2">
        <v>23</v>
      </c>
      <c r="B25" s="34">
        <v>6.59</v>
      </c>
      <c r="C25" s="34">
        <f>(Tabela3[[#This Row],[LARGURA (cm)]]-$K$2)^2</f>
        <v>0.11397376000000069</v>
      </c>
      <c r="D25" s="34">
        <v>7.61</v>
      </c>
      <c r="E25" s="34">
        <f>(Tabela3[[#This Row],[COMPRIMENTO (cm)]]-$K$3)^2</f>
        <v>3.2833440000000817E-2</v>
      </c>
      <c r="F25" s="34">
        <v>2.66</v>
      </c>
      <c r="G25" s="34">
        <f>(Tabela3[[#This Row],[ESPESSURA (cm)]]-$K$4)^2</f>
        <v>5.4169599999999178E-3</v>
      </c>
      <c r="R25" s="40" t="s">
        <v>46</v>
      </c>
      <c r="S25" s="33">
        <v>7</v>
      </c>
      <c r="T25" s="41">
        <f t="shared" si="1"/>
        <v>14</v>
      </c>
    </row>
    <row r="26" spans="1:20" x14ac:dyDescent="0.3">
      <c r="A26" s="2">
        <v>24</v>
      </c>
      <c r="B26" s="34">
        <v>5.66</v>
      </c>
      <c r="C26" s="34">
        <f>(Tabela3[[#This Row],[LARGURA (cm)]]-$K$2)^2</f>
        <v>0.35093775999999849</v>
      </c>
      <c r="D26" s="34">
        <v>7.02</v>
      </c>
      <c r="E26" s="34">
        <f>(Tabela3[[#This Row],[COMPRIMENTO (cm)]]-$K$3)^2</f>
        <v>0.59474944000000463</v>
      </c>
      <c r="F26" s="34">
        <v>2.63</v>
      </c>
      <c r="G26" s="34">
        <f>(Tabela3[[#This Row],[ESPESSURA (cm)]]-$K$4)^2</f>
        <v>1.0732959999999936E-2</v>
      </c>
      <c r="R26" s="40" t="s">
        <v>47</v>
      </c>
      <c r="S26" s="33">
        <v>1</v>
      </c>
      <c r="T26" s="41">
        <f t="shared" si="1"/>
        <v>2</v>
      </c>
    </row>
    <row r="27" spans="1:20" x14ac:dyDescent="0.3">
      <c r="A27" s="2">
        <v>25</v>
      </c>
      <c r="B27" s="34">
        <v>5.93</v>
      </c>
      <c r="C27" s="34">
        <f>(Tabela3[[#This Row],[LARGURA (cm)]]-$K$2)^2</f>
        <v>0.10394175999999944</v>
      </c>
      <c r="D27" s="34">
        <v>7</v>
      </c>
      <c r="E27" s="34">
        <f>(Tabela3[[#This Row],[COMPRIMENTO (cm)]]-$K$3)^2</f>
        <v>0.62599744000000401</v>
      </c>
      <c r="F27" s="34">
        <v>2.46</v>
      </c>
      <c r="G27" s="34">
        <f>(Tabela3[[#This Row],[ESPESSURA (cm)]]-$K$4)^2</f>
        <v>7.4856959999999792E-2</v>
      </c>
      <c r="R27" s="40" t="s">
        <v>48</v>
      </c>
      <c r="S27" s="33">
        <v>1</v>
      </c>
      <c r="T27" s="41">
        <f t="shared" si="1"/>
        <v>2</v>
      </c>
    </row>
    <row r="28" spans="1:20" ht="15" thickBot="1" x14ac:dyDescent="0.35">
      <c r="A28" s="2">
        <v>26</v>
      </c>
      <c r="B28" s="34">
        <v>5.31</v>
      </c>
      <c r="C28" s="34">
        <f>(Tabela3[[#This Row],[LARGURA (cm)]]-$K$2)^2</f>
        <v>0.88811775999999854</v>
      </c>
      <c r="D28" s="34">
        <v>6.55</v>
      </c>
      <c r="E28" s="34">
        <f>(Tabela3[[#This Row],[COMPRIMENTO (cm)]]-$K$3)^2</f>
        <v>1.5405774400000067</v>
      </c>
      <c r="F28" s="34">
        <v>2.5099999999999998</v>
      </c>
      <c r="G28" s="34">
        <f>(Tabela3[[#This Row],[ESPESSURA (cm)]]-$K$4)^2</f>
        <v>4.999695999999991E-2</v>
      </c>
      <c r="R28" s="42" t="s">
        <v>21</v>
      </c>
      <c r="S28" s="32">
        <f>SUM(S19:S27)</f>
        <v>50</v>
      </c>
      <c r="T28" s="43">
        <f t="shared" si="1"/>
        <v>100</v>
      </c>
    </row>
    <row r="29" spans="1:20" ht="15" thickBot="1" x14ac:dyDescent="0.35">
      <c r="A29" s="2">
        <v>27</v>
      </c>
      <c r="B29" s="34">
        <v>5.34</v>
      </c>
      <c r="C29" s="34">
        <f>(Tabela3[[#This Row],[LARGURA (cm)]]-$K$2)^2</f>
        <v>0.83247375999999818</v>
      </c>
      <c r="D29" s="34">
        <v>5.73</v>
      </c>
      <c r="E29" s="34">
        <f>(Tabela3[[#This Row],[COMPRIMENTO (cm)]]-$K$3)^2</f>
        <v>4.2485454400000089</v>
      </c>
      <c r="F29" s="34">
        <v>2.5099999999999998</v>
      </c>
      <c r="G29" s="34">
        <f>(Tabela3[[#This Row],[ESPESSURA (cm)]]-$K$4)^2</f>
        <v>4.999695999999991E-2</v>
      </c>
      <c r="R29" s="52" t="s">
        <v>60</v>
      </c>
      <c r="S29" s="53"/>
      <c r="T29" s="54"/>
    </row>
    <row r="30" spans="1:20" x14ac:dyDescent="0.3">
      <c r="A30" s="2">
        <v>28</v>
      </c>
      <c r="B30" s="34">
        <v>6.4</v>
      </c>
      <c r="C30" s="34">
        <f>(Tabela3[[#This Row],[LARGURA (cm)]]-$K$2)^2</f>
        <v>2.1785760000000445E-2</v>
      </c>
      <c r="D30" s="34">
        <v>8</v>
      </c>
      <c r="E30" s="34">
        <f>(Tabela3[[#This Row],[COMPRIMENTO (cm)]]-$K$3)^2</f>
        <v>4.3597439999998926E-2</v>
      </c>
      <c r="F30" s="34">
        <v>2.71</v>
      </c>
      <c r="G30" s="34">
        <f>(Tabela3[[#This Row],[ESPESSURA (cm)]]-$K$4)^2</f>
        <v>5.5695999999998212E-4</v>
      </c>
      <c r="R30" s="38" t="s">
        <v>18</v>
      </c>
      <c r="S30" s="18" t="s">
        <v>19</v>
      </c>
      <c r="T30" s="39" t="s">
        <v>20</v>
      </c>
    </row>
    <row r="31" spans="1:20" x14ac:dyDescent="0.3">
      <c r="A31" s="2">
        <v>29</v>
      </c>
      <c r="B31" s="34">
        <v>5.75</v>
      </c>
      <c r="C31" s="34">
        <f>(Tabela3[[#This Row],[LARGURA (cm)]]-$K$2)^2</f>
        <v>0.25240575999999887</v>
      </c>
      <c r="D31" s="34">
        <v>7.33</v>
      </c>
      <c r="E31" s="34">
        <f>(Tabela3[[#This Row],[COMPRIMENTO (cm)]]-$K$3)^2</f>
        <v>0.2127054400000023</v>
      </c>
      <c r="F31" s="34">
        <v>2.62</v>
      </c>
      <c r="G31" s="34">
        <f>(Tabela3[[#This Row],[ESPESSURA (cm)]]-$K$4)^2</f>
        <v>1.2904959999999882E-2</v>
      </c>
      <c r="R31" s="45" t="s">
        <v>54</v>
      </c>
      <c r="S31" s="16">
        <v>1</v>
      </c>
      <c r="T31" s="46">
        <f t="shared" ref="T31:T36" si="2">S31/50%</f>
        <v>2</v>
      </c>
    </row>
    <row r="32" spans="1:20" x14ac:dyDescent="0.3">
      <c r="A32" s="2">
        <v>30</v>
      </c>
      <c r="B32" s="34">
        <v>7.16</v>
      </c>
      <c r="C32" s="34">
        <f>(Tabela3[[#This Row],[LARGURA (cm)]]-$K$2)^2</f>
        <v>0.82373776000000232</v>
      </c>
      <c r="D32" s="34">
        <v>8.59</v>
      </c>
      <c r="E32" s="34">
        <f>(Tabela3[[#This Row],[COMPRIMENTO (cm)]]-$K$3)^2</f>
        <v>0.63808143999999567</v>
      </c>
      <c r="F32" s="34">
        <v>2.77</v>
      </c>
      <c r="G32" s="34">
        <f>(Tabela3[[#This Row],[ESPESSURA (cm)]]-$K$4)^2</f>
        <v>1.3249600000000315E-3</v>
      </c>
      <c r="R32" s="45" t="s">
        <v>55</v>
      </c>
      <c r="S32" s="16">
        <v>3</v>
      </c>
      <c r="T32" s="46">
        <f t="shared" si="2"/>
        <v>6</v>
      </c>
    </row>
    <row r="33" spans="1:20" x14ac:dyDescent="0.3">
      <c r="A33" s="2">
        <v>31</v>
      </c>
      <c r="B33" s="34">
        <v>5.97</v>
      </c>
      <c r="C33" s="34">
        <f>(Tabela3[[#This Row],[LARGURA (cm)]]-$K$2)^2</f>
        <v>7.9749759999999489E-2</v>
      </c>
      <c r="D33" s="34">
        <v>6.72</v>
      </c>
      <c r="E33" s="34">
        <f>(Tabela3[[#This Row],[COMPRIMENTO (cm)]]-$K$3)^2</f>
        <v>1.1474694400000061</v>
      </c>
      <c r="F33" s="34">
        <v>2.67</v>
      </c>
      <c r="G33" s="34">
        <f>(Tabela3[[#This Row],[ESPESSURA (cm)]]-$K$4)^2</f>
        <v>4.044959999999956E-3</v>
      </c>
      <c r="R33" s="45" t="s">
        <v>56</v>
      </c>
      <c r="S33" s="16">
        <v>20</v>
      </c>
      <c r="T33" s="46">
        <f t="shared" si="2"/>
        <v>40</v>
      </c>
    </row>
    <row r="34" spans="1:20" x14ac:dyDescent="0.3">
      <c r="A34" s="2">
        <v>32</v>
      </c>
      <c r="B34" s="34">
        <v>6.85</v>
      </c>
      <c r="C34" s="34">
        <f>(Tabela3[[#This Row],[LARGURA (cm)]]-$K$2)^2</f>
        <v>0.35712576000000096</v>
      </c>
      <c r="D34" s="34">
        <v>9.3000000000000007</v>
      </c>
      <c r="E34" s="34">
        <f>(Tabela3[[#This Row],[COMPRIMENTO (cm)]]-$K$3)^2</f>
        <v>2.2764774399999945</v>
      </c>
      <c r="F34" s="34">
        <v>2.74</v>
      </c>
      <c r="G34" s="34">
        <f>(Tabela3[[#This Row],[ESPESSURA (cm)]]-$K$4)^2</f>
        <v>4.0960000000008031E-5</v>
      </c>
      <c r="R34" s="45" t="s">
        <v>57</v>
      </c>
      <c r="S34" s="16">
        <v>19</v>
      </c>
      <c r="T34" s="46">
        <f t="shared" si="2"/>
        <v>38</v>
      </c>
    </row>
    <row r="35" spans="1:20" x14ac:dyDescent="0.3">
      <c r="A35" s="2">
        <v>33</v>
      </c>
      <c r="B35" s="34">
        <v>7.13</v>
      </c>
      <c r="C35" s="34">
        <f>(Tabela3[[#This Row],[LARGURA (cm)]]-$K$2)^2</f>
        <v>0.77018176000000182</v>
      </c>
      <c r="D35" s="34">
        <v>7.73</v>
      </c>
      <c r="E35" s="34">
        <f>(Tabela3[[#This Row],[COMPRIMENTO (cm)]]-$K$3)^2</f>
        <v>3.745440000000262E-3</v>
      </c>
      <c r="F35" s="34">
        <v>2.63</v>
      </c>
      <c r="G35" s="34">
        <f>(Tabela3[[#This Row],[ESPESSURA (cm)]]-$K$4)^2</f>
        <v>1.0732959999999936E-2</v>
      </c>
      <c r="R35" s="45" t="s">
        <v>58</v>
      </c>
      <c r="S35" s="16">
        <v>7</v>
      </c>
      <c r="T35" s="46">
        <f t="shared" si="2"/>
        <v>14</v>
      </c>
    </row>
    <row r="36" spans="1:20" ht="15" thickBot="1" x14ac:dyDescent="0.35">
      <c r="A36" s="2">
        <v>34</v>
      </c>
      <c r="B36" s="34">
        <v>5.66</v>
      </c>
      <c r="C36" s="34">
        <f>(Tabela3[[#This Row],[LARGURA (cm)]]-$K$2)^2</f>
        <v>0.35093775999999849</v>
      </c>
      <c r="D36" s="34">
        <v>7.28</v>
      </c>
      <c r="E36" s="34">
        <f>(Tabela3[[#This Row],[COMPRIMENTO (cm)]]-$K$3)^2</f>
        <v>0.26132544000000235</v>
      </c>
      <c r="F36" s="34">
        <v>2.91</v>
      </c>
      <c r="G36" s="34">
        <f>(Tabela3[[#This Row],[ESPESSURA (cm)]]-$K$4)^2</f>
        <v>3.1116960000000197E-2</v>
      </c>
      <c r="R36" s="42" t="s">
        <v>30</v>
      </c>
      <c r="S36" s="17">
        <f>SUM(S31:S35)</f>
        <v>50</v>
      </c>
      <c r="T36" s="47">
        <f t="shared" si="2"/>
        <v>100</v>
      </c>
    </row>
    <row r="37" spans="1:20" x14ac:dyDescent="0.3">
      <c r="A37" s="2">
        <v>35</v>
      </c>
      <c r="B37" s="34">
        <v>6.6</v>
      </c>
      <c r="C37" s="34">
        <f>(Tabela3[[#This Row],[LARGURA (cm)]]-$K$2)^2</f>
        <v>0.12082576000000056</v>
      </c>
      <c r="D37" s="34">
        <v>7.86</v>
      </c>
      <c r="E37" s="34">
        <f>(Tabela3[[#This Row],[COMPRIMENTO (cm)]]-$K$3)^2</f>
        <v>4.7334399999996906E-3</v>
      </c>
      <c r="F37" s="34">
        <v>2.97</v>
      </c>
      <c r="G37" s="34">
        <f>(Tabela3[[#This Row],[ESPESSURA (cm)]]-$K$4)^2</f>
        <v>5.5884960000000289E-2</v>
      </c>
    </row>
    <row r="38" spans="1:20" x14ac:dyDescent="0.3">
      <c r="A38" s="2">
        <v>36</v>
      </c>
      <c r="B38" s="34">
        <v>6.54</v>
      </c>
      <c r="C38" s="34">
        <f>(Tabela3[[#This Row],[LARGURA (cm)]]-$K$2)^2</f>
        <v>8.2713760000000677E-2</v>
      </c>
      <c r="D38" s="34">
        <v>8.7100000000000009</v>
      </c>
      <c r="E38" s="34">
        <f>(Tabela3[[#This Row],[COMPRIMENTO (cm)]]-$K$3)^2</f>
        <v>0.84419343999999685</v>
      </c>
      <c r="F38" s="34">
        <v>3.21</v>
      </c>
      <c r="G38" s="34">
        <f>(Tabela3[[#This Row],[ESPESSURA (cm)]]-$K$4)^2</f>
        <v>0.22695696000000037</v>
      </c>
    </row>
    <row r="39" spans="1:20" x14ac:dyDescent="0.3">
      <c r="A39" s="2">
        <v>37</v>
      </c>
      <c r="B39" s="34">
        <v>6.74</v>
      </c>
      <c r="C39" s="34">
        <f>(Tabela3[[#This Row],[LARGURA (cm)]]-$K$2)^2</f>
        <v>0.23775376000000134</v>
      </c>
      <c r="D39" s="34">
        <v>9.1199999999999992</v>
      </c>
      <c r="E39" s="34">
        <f>(Tabela3[[#This Row],[COMPRIMENTO (cm)]]-$K$3)^2</f>
        <v>1.7657094399999911</v>
      </c>
      <c r="F39" s="34">
        <v>3.14</v>
      </c>
      <c r="G39" s="34">
        <f>(Tabela3[[#This Row],[ESPESSURA (cm)]]-$K$4)^2</f>
        <v>0.16516096000000044</v>
      </c>
    </row>
    <row r="40" spans="1:20" ht="15" thickBot="1" x14ac:dyDescent="0.35">
      <c r="A40" s="2">
        <v>38</v>
      </c>
      <c r="B40" s="34">
        <v>6.13</v>
      </c>
      <c r="C40" s="34">
        <f>(Tabela3[[#This Row],[LARGURA (cm)]]-$K$2)^2</f>
        <v>1.4981759999999743E-2</v>
      </c>
      <c r="D40" s="34">
        <v>8.44</v>
      </c>
      <c r="E40" s="34">
        <f>(Tabela3[[#This Row],[COMPRIMENTO (cm)]]-$K$3)^2</f>
        <v>0.420941439999996</v>
      </c>
      <c r="F40" s="34">
        <v>2.82</v>
      </c>
      <c r="G40" s="34">
        <f>(Tabela3[[#This Row],[ESPESSURA (cm)]]-$K$4)^2</f>
        <v>7.4649600000000439E-3</v>
      </c>
      <c r="N40" s="51"/>
      <c r="O40" s="51"/>
      <c r="P40" s="51"/>
    </row>
    <row r="41" spans="1:20" x14ac:dyDescent="0.3">
      <c r="A41" s="2">
        <v>39</v>
      </c>
      <c r="B41" s="34">
        <v>7.03</v>
      </c>
      <c r="C41" s="34">
        <f>(Tabela3[[#This Row],[LARGURA (cm)]]-$K$2)^2</f>
        <v>0.60466176000000216</v>
      </c>
      <c r="D41" s="34">
        <v>9.9499999999999993</v>
      </c>
      <c r="E41" s="34">
        <f>(Tabela3[[#This Row],[COMPRIMENTO (cm)]]-$K$3)^2</f>
        <v>4.6604174399999856</v>
      </c>
      <c r="F41" s="34">
        <v>3.04</v>
      </c>
      <c r="G41" s="34">
        <f>(Tabela3[[#This Row],[ESPESSURA (cm)]]-$K$4)^2</f>
        <v>9.3880960000000277E-2</v>
      </c>
      <c r="L41">
        <v>2.1</v>
      </c>
      <c r="N41" s="18" t="s">
        <v>18</v>
      </c>
      <c r="O41" s="18" t="s">
        <v>19</v>
      </c>
    </row>
    <row r="42" spans="1:20" x14ac:dyDescent="0.3">
      <c r="A42" s="2">
        <v>40</v>
      </c>
      <c r="B42" s="34">
        <v>6.1</v>
      </c>
      <c r="C42" s="34">
        <f>(Tabela3[[#This Row],[LARGURA (cm)]]-$K$2)^2</f>
        <v>2.3225759999999759E-2</v>
      </c>
      <c r="D42" s="34">
        <v>8.17</v>
      </c>
      <c r="E42" s="34">
        <f>(Tabela3[[#This Row],[COMPRIMENTO (cm)]]-$K$3)^2</f>
        <v>0.143489439999998</v>
      </c>
      <c r="F42" s="34">
        <v>2.85</v>
      </c>
      <c r="G42" s="34">
        <f>(Tabela3[[#This Row],[ESPESSURA (cm)]]-$K$4)^2</f>
        <v>1.3548960000000117E-2</v>
      </c>
      <c r="L42">
        <v>2.2000000000000002</v>
      </c>
      <c r="N42" s="15">
        <v>2.1</v>
      </c>
      <c r="O42" s="16">
        <v>1</v>
      </c>
    </row>
    <row r="43" spans="1:20" x14ac:dyDescent="0.3">
      <c r="A43" s="2">
        <v>41</v>
      </c>
      <c r="B43" s="34">
        <v>6.6</v>
      </c>
      <c r="C43" s="34">
        <f>(Tabela3[[#This Row],[LARGURA (cm)]]-$K$2)^2</f>
        <v>0.12082576000000056</v>
      </c>
      <c r="D43" s="34">
        <v>8.0500000000000007</v>
      </c>
      <c r="E43" s="34">
        <f>(Tabela3[[#This Row],[COMPRIMENTO (cm)]]-$K$3)^2</f>
        <v>6.6977439999999042E-2</v>
      </c>
      <c r="F43" s="34">
        <v>2.8</v>
      </c>
      <c r="G43" s="34">
        <f>(Tabela3[[#This Row],[ESPESSURA (cm)]]-$K$4)^2</f>
        <v>4.4089600000000312E-3</v>
      </c>
      <c r="L43">
        <v>2.2999999999999998</v>
      </c>
      <c r="N43" s="15">
        <v>2.2000000000000002</v>
      </c>
      <c r="O43" s="16">
        <v>1</v>
      </c>
    </row>
    <row r="44" spans="1:20" x14ac:dyDescent="0.3">
      <c r="A44" s="2">
        <v>42</v>
      </c>
      <c r="B44" s="34">
        <v>7</v>
      </c>
      <c r="C44" s="34">
        <f>(Tabela3[[#This Row],[LARGURA (cm)]]-$K$2)^2</f>
        <v>0.55890576000000169</v>
      </c>
      <c r="D44" s="34">
        <v>8.99</v>
      </c>
      <c r="E44" s="34">
        <f>(Tabela3[[#This Row],[COMPRIMENTO (cm)]]-$K$3)^2</f>
        <v>1.4371214399999943</v>
      </c>
      <c r="F44" s="34">
        <v>3.16</v>
      </c>
      <c r="G44" s="34">
        <f>(Tabela3[[#This Row],[ESPESSURA (cm)]]-$K$4)^2</f>
        <v>0.18181696000000047</v>
      </c>
      <c r="L44">
        <v>2.4</v>
      </c>
      <c r="N44" s="15">
        <v>2.2999999999999998</v>
      </c>
      <c r="O44" s="16">
        <v>1</v>
      </c>
    </row>
    <row r="45" spans="1:20" x14ac:dyDescent="0.3">
      <c r="A45" s="2">
        <v>43</v>
      </c>
      <c r="B45" s="34">
        <v>6.27</v>
      </c>
      <c r="C45" s="34">
        <f>(Tabela3[[#This Row],[LARGURA (cm)]]-$K$2)^2</f>
        <v>3.0976000000002555E-4</v>
      </c>
      <c r="D45" s="34">
        <v>7.78</v>
      </c>
      <c r="E45" s="34">
        <f>(Tabela3[[#This Row],[COMPRIMENTO (cm)]]-$K$3)^2</f>
        <v>1.2544000000005195E-4</v>
      </c>
      <c r="F45" s="34">
        <v>2.73</v>
      </c>
      <c r="G45" s="34">
        <f>(Tabela3[[#This Row],[ESPESSURA (cm)]]-$K$4)^2</f>
        <v>1.2959999999997145E-5</v>
      </c>
      <c r="L45">
        <v>2.5</v>
      </c>
      <c r="N45" s="15">
        <v>2.4</v>
      </c>
      <c r="O45" s="16">
        <v>1</v>
      </c>
    </row>
    <row r="46" spans="1:20" x14ac:dyDescent="0.3">
      <c r="A46" s="2">
        <v>44</v>
      </c>
      <c r="B46" s="34">
        <v>6.24</v>
      </c>
      <c r="C46" s="34">
        <f>(Tabela3[[#This Row],[LARGURA (cm)]]-$K$2)^2</f>
        <v>1.5375999999996614E-4</v>
      </c>
      <c r="D46" s="34">
        <v>7.73</v>
      </c>
      <c r="E46" s="34">
        <f>(Tabela3[[#This Row],[COMPRIMENTO (cm)]]-$K$3)^2</f>
        <v>3.745440000000262E-3</v>
      </c>
      <c r="F46" s="34">
        <v>2.58</v>
      </c>
      <c r="G46" s="34">
        <f>(Tabela3[[#This Row],[ESPESSURA (cm)]]-$K$4)^2</f>
        <v>2.359295999999985E-2</v>
      </c>
      <c r="L46">
        <v>2.6</v>
      </c>
      <c r="N46" s="15">
        <v>2.5</v>
      </c>
      <c r="O46" s="16">
        <v>5</v>
      </c>
    </row>
    <row r="47" spans="1:20" x14ac:dyDescent="0.3">
      <c r="A47" s="2">
        <v>45</v>
      </c>
      <c r="B47" s="34">
        <v>5.89</v>
      </c>
      <c r="C47" s="34">
        <f>(Tabela3[[#This Row],[LARGURA (cm)]]-$K$2)^2</f>
        <v>0.13133375999999938</v>
      </c>
      <c r="D47" s="34">
        <v>8.19</v>
      </c>
      <c r="E47" s="34">
        <f>(Tabela3[[#This Row],[COMPRIMENTO (cm)]]-$K$3)^2</f>
        <v>0.15904143999999756</v>
      </c>
      <c r="F47" s="34">
        <v>2.72</v>
      </c>
      <c r="G47" s="34">
        <f>(Tabela3[[#This Row],[ESPESSURA (cm)]]-$K$4)^2</f>
        <v>1.8495999999998343E-4</v>
      </c>
      <c r="L47">
        <v>2.7</v>
      </c>
      <c r="N47" s="15">
        <v>2.6</v>
      </c>
      <c r="O47" s="16">
        <v>6</v>
      </c>
    </row>
    <row r="48" spans="1:20" x14ac:dyDescent="0.3">
      <c r="A48" s="2">
        <v>46</v>
      </c>
      <c r="B48" s="34">
        <v>6.67</v>
      </c>
      <c r="C48" s="34">
        <f>(Tabela3[[#This Row],[LARGURA (cm)]]-$K$2)^2</f>
        <v>0.17438976000000089</v>
      </c>
      <c r="D48" s="34">
        <v>8.67</v>
      </c>
      <c r="E48" s="34">
        <f>(Tabela3[[#This Row],[COMPRIMENTO (cm)]]-$K$3)^2</f>
        <v>0.77228943999999533</v>
      </c>
      <c r="F48" s="34">
        <v>3.19</v>
      </c>
      <c r="G48" s="34">
        <f>(Tabela3[[#This Row],[ESPESSURA (cm)]]-$K$4)^2</f>
        <v>0.20830096000000034</v>
      </c>
      <c r="L48">
        <v>2.8</v>
      </c>
      <c r="N48" s="15">
        <v>2.7</v>
      </c>
      <c r="O48" s="16">
        <v>9</v>
      </c>
    </row>
    <row r="49" spans="1:15" x14ac:dyDescent="0.3">
      <c r="A49" s="2">
        <v>47</v>
      </c>
      <c r="B49" s="34">
        <v>6.1</v>
      </c>
      <c r="C49" s="34">
        <f>(Tabela3[[#This Row],[LARGURA (cm)]]-$K$2)^2</f>
        <v>2.3225759999999759E-2</v>
      </c>
      <c r="D49" s="34">
        <v>8.43</v>
      </c>
      <c r="E49" s="34">
        <f>(Tabela3[[#This Row],[COMPRIMENTO (cm)]]-$K$3)^2</f>
        <v>0.40806543999999634</v>
      </c>
      <c r="F49" s="34">
        <v>2.64</v>
      </c>
      <c r="G49" s="34">
        <f>(Tabela3[[#This Row],[ESPESSURA (cm)]]-$K$4)^2</f>
        <v>8.7609599999998993E-3</v>
      </c>
      <c r="L49">
        <v>2.9</v>
      </c>
      <c r="N49" s="15">
        <v>2.8</v>
      </c>
      <c r="O49" s="16">
        <v>7</v>
      </c>
    </row>
    <row r="50" spans="1:15" x14ac:dyDescent="0.3">
      <c r="A50" s="2">
        <v>48</v>
      </c>
      <c r="B50" s="34">
        <v>5.64</v>
      </c>
      <c r="C50" s="34">
        <f>(Tabela3[[#This Row],[LARGURA (cm)]]-$K$2)^2</f>
        <v>0.37503375999999899</v>
      </c>
      <c r="D50" s="34">
        <v>7.42</v>
      </c>
      <c r="E50" s="34">
        <f>(Tabela3[[#This Row],[COMPRIMENTO (cm)]]-$K$3)^2</f>
        <v>0.13778944000000196</v>
      </c>
      <c r="F50" s="34">
        <v>2.92</v>
      </c>
      <c r="G50" s="34">
        <f>(Tabela3[[#This Row],[ESPESSURA (cm)]]-$K$4)^2</f>
        <v>3.474496000000013E-2</v>
      </c>
      <c r="L50">
        <v>3</v>
      </c>
      <c r="N50" s="15">
        <v>2.9</v>
      </c>
      <c r="O50" s="16">
        <v>6</v>
      </c>
    </row>
    <row r="51" spans="1:15" x14ac:dyDescent="0.3">
      <c r="A51" s="2">
        <v>49</v>
      </c>
      <c r="B51" s="34">
        <v>6.01</v>
      </c>
      <c r="C51" s="34">
        <f>(Tabela3[[#This Row],[LARGURA (cm)]]-$K$2)^2</f>
        <v>5.8757759999999541E-2</v>
      </c>
      <c r="D51" s="34">
        <v>7.08</v>
      </c>
      <c r="E51" s="34">
        <f>(Tabela3[[#This Row],[COMPRIMENTO (cm)]]-$K$3)^2</f>
        <v>0.5058054400000036</v>
      </c>
      <c r="F51" s="34">
        <v>2.58</v>
      </c>
      <c r="G51" s="34">
        <f>(Tabela3[[#This Row],[ESPESSURA (cm)]]-$K$4)^2</f>
        <v>2.359295999999985E-2</v>
      </c>
      <c r="L51">
        <v>3.1</v>
      </c>
      <c r="N51" s="15">
        <v>3</v>
      </c>
      <c r="O51" s="16">
        <v>6</v>
      </c>
    </row>
    <row r="52" spans="1:15" x14ac:dyDescent="0.3">
      <c r="A52" s="2">
        <v>50</v>
      </c>
      <c r="B52" s="34">
        <v>6.3</v>
      </c>
      <c r="C52" s="34">
        <f>(Tabela3[[#This Row],[LARGURA (cm)]]-$K$2)^2</f>
        <v>2.2657600000000927E-3</v>
      </c>
      <c r="D52" s="34">
        <v>8.73</v>
      </c>
      <c r="E52" s="34">
        <f>(Tabela3[[#This Row],[COMPRIMENTO (cm)]]-$K$3)^2</f>
        <v>0.88134543999999593</v>
      </c>
      <c r="F52" s="34">
        <v>2.84</v>
      </c>
      <c r="G52" s="34">
        <f>(Tabela3[[#This Row],[ESPESSURA (cm)]]-$K$4)^2</f>
        <v>1.1320960000000059E-2</v>
      </c>
      <c r="L52">
        <v>3.2</v>
      </c>
      <c r="N52" s="15">
        <v>3.1</v>
      </c>
      <c r="O52" s="16">
        <v>3</v>
      </c>
    </row>
    <row r="53" spans="1:15" x14ac:dyDescent="0.3">
      <c r="A53" s="2"/>
      <c r="B53" s="2"/>
      <c r="C53" s="35">
        <f>SUM(Tabela3[x1-média])</f>
        <v>14.886911999999999</v>
      </c>
      <c r="D53" s="2"/>
      <c r="E53" s="35">
        <f>SUBTOTAL(109,Tabela3[Coluna1])</f>
        <v>39.926327999999991</v>
      </c>
      <c r="F53" s="2">
        <f>SUBTOTAL(109,Tabela3[ESPESSURA (cm)])</f>
        <v>136.67999999999998</v>
      </c>
      <c r="G53" s="35">
        <f>SUBTOTAL(109,Tabela3[Coluna2])</f>
        <v>3.192752</v>
      </c>
      <c r="N53" s="15">
        <v>3.2</v>
      </c>
      <c r="O53" s="16">
        <v>4</v>
      </c>
    </row>
    <row r="54" spans="1:15" ht="15" thickBot="1" x14ac:dyDescent="0.35">
      <c r="C54" s="35">
        <f>Tabela3[[#Totals],[x1-média]]/(50-1)</f>
        <v>0.30381453061224489</v>
      </c>
      <c r="E54" s="36">
        <f>Tabela3[[#Totals],[Coluna1]]/49</f>
        <v>0.81482302040816312</v>
      </c>
      <c r="G54" s="36">
        <f>Tabela3[[#Totals],[Coluna2]]/49</f>
        <v>6.5158204081632656E-2</v>
      </c>
      <c r="N54" s="17" t="s">
        <v>30</v>
      </c>
      <c r="O54" s="17">
        <f>SUM(O42:O53)</f>
        <v>50</v>
      </c>
    </row>
    <row r="55" spans="1:15" x14ac:dyDescent="0.3">
      <c r="C55" t="s">
        <v>50</v>
      </c>
      <c r="E55" t="s">
        <v>51</v>
      </c>
      <c r="G55" t="s">
        <v>53</v>
      </c>
    </row>
  </sheetData>
  <sortState ref="R31:R35">
    <sortCondition ref="R31"/>
  </sortState>
  <mergeCells count="15">
    <mergeCell ref="I20:I22"/>
    <mergeCell ref="N40:P40"/>
    <mergeCell ref="R17:T17"/>
    <mergeCell ref="R29:T29"/>
    <mergeCell ref="A1:F1"/>
    <mergeCell ref="I11:I13"/>
    <mergeCell ref="I14:I16"/>
    <mergeCell ref="M1:O1"/>
    <mergeCell ref="R4:R6"/>
    <mergeCell ref="I1:K1"/>
    <mergeCell ref="I5:I7"/>
    <mergeCell ref="I2:I4"/>
    <mergeCell ref="M8:U8"/>
    <mergeCell ref="M9:O9"/>
    <mergeCell ref="I8:I10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6"/>
  <sheetViews>
    <sheetView tabSelected="1" workbookViewId="0">
      <selection sqref="A1:F1"/>
    </sheetView>
  </sheetViews>
  <sheetFormatPr defaultRowHeight="14.4" x14ac:dyDescent="0.3"/>
  <cols>
    <col min="1" max="1" width="14.109375" bestFit="1" customWidth="1"/>
    <col min="2" max="2" width="18.77734375" bestFit="1" customWidth="1"/>
    <col min="3" max="3" width="18.77734375" customWidth="1"/>
    <col min="4" max="4" width="23.44140625" bestFit="1" customWidth="1"/>
    <col min="5" max="5" width="23.44140625" customWidth="1"/>
    <col min="6" max="6" width="19.6640625" bestFit="1" customWidth="1"/>
    <col min="7" max="7" width="19.6640625" customWidth="1"/>
    <col min="9" max="9" width="13.21875" bestFit="1" customWidth="1"/>
    <col min="10" max="10" width="14.21875" bestFit="1" customWidth="1"/>
    <col min="11" max="11" width="8.44140625" bestFit="1" customWidth="1"/>
    <col min="13" max="13" width="9.33203125" bestFit="1" customWidth="1"/>
    <col min="17" max="17" width="10.44140625" bestFit="1" customWidth="1"/>
    <col min="18" max="18" width="10.44140625" customWidth="1"/>
    <col min="19" max="19" width="21.5546875" customWidth="1"/>
  </cols>
  <sheetData>
    <row r="1" spans="1:16" ht="15.6" thickTop="1" thickBot="1" x14ac:dyDescent="0.35">
      <c r="A1" s="71" t="s">
        <v>0</v>
      </c>
      <c r="B1" s="71"/>
      <c r="C1" s="71"/>
      <c r="D1" s="71"/>
      <c r="E1" s="71"/>
      <c r="F1" s="71"/>
      <c r="G1" s="27"/>
      <c r="H1" s="1"/>
      <c r="I1" s="65" t="s">
        <v>7</v>
      </c>
      <c r="J1" s="66"/>
      <c r="K1" s="67"/>
      <c r="L1" s="1"/>
      <c r="M1" s="1"/>
    </row>
    <row r="2" spans="1:16" ht="15.6" thickTop="1" thickBot="1" x14ac:dyDescent="0.35">
      <c r="A2" s="3" t="s">
        <v>1</v>
      </c>
      <c r="B2" s="3" t="s">
        <v>17</v>
      </c>
      <c r="C2" s="27" t="s">
        <v>61</v>
      </c>
      <c r="D2" s="3" t="s">
        <v>24</v>
      </c>
      <c r="E2" s="27" t="s">
        <v>52</v>
      </c>
      <c r="F2" s="3" t="s">
        <v>25</v>
      </c>
      <c r="G2" s="27" t="s">
        <v>28</v>
      </c>
      <c r="I2" s="61" t="s">
        <v>5</v>
      </c>
      <c r="J2" s="7" t="s">
        <v>2</v>
      </c>
      <c r="K2" s="29">
        <f>AVERAGE(B3:B52)</f>
        <v>7.9099999999999993</v>
      </c>
      <c r="L2">
        <v>0.79</v>
      </c>
      <c r="M2">
        <v>0.92</v>
      </c>
    </row>
    <row r="3" spans="1:16" ht="15" thickTop="1" x14ac:dyDescent="0.3">
      <c r="A3" s="2">
        <v>1</v>
      </c>
      <c r="B3" s="2">
        <v>6.7</v>
      </c>
      <c r="C3" s="34">
        <f>(Tabela6[[#This Row],[LARGURA (mm)]]-$K$3)^2</f>
        <v>0.10240000000000075</v>
      </c>
      <c r="D3" s="2">
        <v>7.4</v>
      </c>
      <c r="E3" s="34">
        <f>(Tabela6[[#This Row],[COMPRIMENTO (mm)]]-$K$3)^2</f>
        <v>0.14439999999999925</v>
      </c>
      <c r="F3" s="2">
        <v>0.3</v>
      </c>
      <c r="G3" s="34">
        <f>(Tabela6[[#This Row],[ESPESSURA (mm)]]-$K$4)^2</f>
        <v>0.58675600000000006</v>
      </c>
      <c r="I3" s="62"/>
      <c r="J3" s="8" t="s">
        <v>3</v>
      </c>
      <c r="K3" s="30">
        <f>AVERAGE(D3:D52)</f>
        <v>7.0200000000000014</v>
      </c>
      <c r="L3">
        <v>0.7</v>
      </c>
      <c r="M3">
        <v>0.91</v>
      </c>
    </row>
    <row r="4" spans="1:16" ht="15" thickBot="1" x14ac:dyDescent="0.35">
      <c r="A4" s="2">
        <v>2</v>
      </c>
      <c r="B4" s="2">
        <v>8</v>
      </c>
      <c r="C4" s="34">
        <f>(Tabela6[[#This Row],[LARGURA (mm)]]-$K$3)^2</f>
        <v>0.96039999999999737</v>
      </c>
      <c r="D4" s="2">
        <v>8.5</v>
      </c>
      <c r="E4" s="34">
        <f>(Tabela6[[#This Row],[COMPRIMENTO (mm)]]-$K$3)^2</f>
        <v>2.1903999999999959</v>
      </c>
      <c r="F4" s="2">
        <v>1.3</v>
      </c>
      <c r="G4" s="34">
        <f>(Tabela6[[#This Row],[ESPESSURA (mm)]]-$K$4)^2</f>
        <v>5.4755999999999992E-2</v>
      </c>
      <c r="I4" s="63"/>
      <c r="J4" s="5" t="s">
        <v>4</v>
      </c>
      <c r="K4" s="31">
        <f>AVERAGE(F3:F52)</f>
        <v>1.0660000000000001</v>
      </c>
    </row>
    <row r="5" spans="1:16" x14ac:dyDescent="0.3">
      <c r="A5" s="2">
        <v>3</v>
      </c>
      <c r="B5" s="2">
        <v>7.6</v>
      </c>
      <c r="C5" s="34">
        <f>(Tabela6[[#This Row],[LARGURA (mm)]]-$K$3)^2</f>
        <v>0.33639999999999803</v>
      </c>
      <c r="D5" s="2">
        <v>6.7</v>
      </c>
      <c r="E5" s="34">
        <f>(Tabela6[[#This Row],[COMPRIMENTO (mm)]]-$K$3)^2</f>
        <v>0.10240000000000075</v>
      </c>
      <c r="F5" s="2">
        <v>1</v>
      </c>
      <c r="G5" s="34">
        <f>(Tabela6[[#This Row],[ESPESSURA (mm)]]-$K$4)^2</f>
        <v>4.3560000000000074E-3</v>
      </c>
      <c r="I5" s="61" t="s">
        <v>6</v>
      </c>
      <c r="J5" s="7" t="s">
        <v>2</v>
      </c>
      <c r="K5" s="29">
        <f>MEDIAN(B3:B52)</f>
        <v>8</v>
      </c>
    </row>
    <row r="6" spans="1:16" x14ac:dyDescent="0.3">
      <c r="A6" s="2">
        <v>4</v>
      </c>
      <c r="B6" s="2">
        <v>8.1</v>
      </c>
      <c r="C6" s="34">
        <f>(Tabela6[[#This Row],[LARGURA (mm)]]-$K$3)^2</f>
        <v>1.1663999999999963</v>
      </c>
      <c r="D6" s="2">
        <v>6.2</v>
      </c>
      <c r="E6" s="34">
        <f>(Tabela6[[#This Row],[COMPRIMENTO (mm)]]-$K$3)^2</f>
        <v>0.67240000000000189</v>
      </c>
      <c r="F6" s="2">
        <v>0.6</v>
      </c>
      <c r="G6" s="34">
        <f>(Tabela6[[#This Row],[ESPESSURA (mm)]]-$K$4)^2</f>
        <v>0.21715600000000007</v>
      </c>
      <c r="I6" s="62"/>
      <c r="J6" s="8" t="s">
        <v>3</v>
      </c>
      <c r="K6" s="30">
        <f>MEDIAN(D3:D52)</f>
        <v>7</v>
      </c>
    </row>
    <row r="7" spans="1:16" ht="15" thickBot="1" x14ac:dyDescent="0.35">
      <c r="A7" s="2">
        <v>5</v>
      </c>
      <c r="B7" s="2">
        <v>8.3000000000000007</v>
      </c>
      <c r="C7" s="34">
        <f>(Tabela6[[#This Row],[LARGURA (mm)]]-$K$3)^2</f>
        <v>1.6383999999999983</v>
      </c>
      <c r="D7" s="2">
        <v>6.9</v>
      </c>
      <c r="E7" s="34">
        <f>(Tabela6[[#This Row],[COMPRIMENTO (mm)]]-$K$3)^2</f>
        <v>1.4400000000000239E-2</v>
      </c>
      <c r="F7" s="2">
        <v>1.2</v>
      </c>
      <c r="G7" s="34">
        <f>(Tabela6[[#This Row],[ESPESSURA (mm)]]-$K$4)^2</f>
        <v>1.7955999999999972E-2</v>
      </c>
      <c r="I7" s="63"/>
      <c r="J7" s="5" t="s">
        <v>4</v>
      </c>
      <c r="K7" s="31">
        <f>MEDIAN(F3:F52)</f>
        <v>1.2</v>
      </c>
      <c r="N7" s="13"/>
      <c r="O7" s="12"/>
    </row>
    <row r="8" spans="1:16" x14ac:dyDescent="0.3">
      <c r="A8" s="2">
        <v>6</v>
      </c>
      <c r="B8" s="2">
        <v>7</v>
      </c>
      <c r="C8" s="34">
        <f>(Tabela6[[#This Row],[LARGURA (mm)]]-$K$3)^2</f>
        <v>4.0000000000005401E-4</v>
      </c>
      <c r="D8" s="2">
        <v>6.8</v>
      </c>
      <c r="E8" s="34">
        <f>(Tabela6[[#This Row],[COMPRIMENTO (mm)]]-$K$3)^2</f>
        <v>4.8400000000000672E-2</v>
      </c>
      <c r="F8" s="2">
        <v>0.6</v>
      </c>
      <c r="G8" s="34">
        <f>(Tabela6[[#This Row],[ESPESSURA (mm)]]-$K$4)^2</f>
        <v>0.21715600000000007</v>
      </c>
      <c r="I8" s="61" t="s">
        <v>8</v>
      </c>
      <c r="J8" s="7" t="s">
        <v>2</v>
      </c>
      <c r="K8" s="29">
        <f>_xlfn.MODE.SNGL(Tabela6[LARGURA (mm)])</f>
        <v>8</v>
      </c>
      <c r="M8" s="13"/>
      <c r="N8" s="13"/>
      <c r="O8" s="12"/>
    </row>
    <row r="9" spans="1:16" x14ac:dyDescent="0.3">
      <c r="A9" s="2">
        <v>7</v>
      </c>
      <c r="B9" s="2">
        <v>7.3</v>
      </c>
      <c r="C9" s="34">
        <f>(Tabela6[[#This Row],[LARGURA (mm)]]-$K$3)^2</f>
        <v>7.8399999999999151E-2</v>
      </c>
      <c r="D9" s="2">
        <v>6</v>
      </c>
      <c r="E9" s="34">
        <f>(Tabela6[[#This Row],[COMPRIMENTO (mm)]]-$K$3)^2</f>
        <v>1.0404000000000027</v>
      </c>
      <c r="F9" s="2">
        <v>0.3</v>
      </c>
      <c r="G9" s="34">
        <f>(Tabela6[[#This Row],[ESPESSURA (mm)]]-$K$4)^2</f>
        <v>0.58675600000000006</v>
      </c>
      <c r="I9" s="62"/>
      <c r="J9" s="8" t="s">
        <v>3</v>
      </c>
      <c r="K9" s="30">
        <f>_xlfn.MODE.SNGL(Tabela6[COMPRIMENTO (mm)])</f>
        <v>7.5</v>
      </c>
      <c r="M9" s="11"/>
      <c r="N9" s="11"/>
      <c r="O9" s="14"/>
    </row>
    <row r="10" spans="1:16" ht="15" thickBot="1" x14ac:dyDescent="0.35">
      <c r="A10" s="2">
        <v>8</v>
      </c>
      <c r="B10" s="2">
        <v>7.4</v>
      </c>
      <c r="C10" s="34">
        <f>(Tabela6[[#This Row],[LARGURA (mm)]]-$K$3)^2</f>
        <v>0.14439999999999925</v>
      </c>
      <c r="D10" s="2">
        <v>8.4</v>
      </c>
      <c r="E10" s="34">
        <f>(Tabela6[[#This Row],[COMPRIMENTO (mm)]]-$K$3)^2</f>
        <v>1.9043999999999972</v>
      </c>
      <c r="F10" s="2">
        <v>0.7</v>
      </c>
      <c r="G10" s="34">
        <f>(Tabela6[[#This Row],[ESPESSURA (mm)]]-$K$4)^2</f>
        <v>0.13395600000000008</v>
      </c>
      <c r="I10" s="63"/>
      <c r="J10" s="5" t="s">
        <v>4</v>
      </c>
      <c r="K10" s="31">
        <f>_xlfn.MODE.SNGL(Tabela6[ESPESSURA (mm)])</f>
        <v>1.4</v>
      </c>
      <c r="M10" s="11"/>
      <c r="N10" s="11"/>
      <c r="O10" s="12"/>
      <c r="P10" s="22"/>
    </row>
    <row r="11" spans="1:16" x14ac:dyDescent="0.3">
      <c r="A11" s="2">
        <v>9</v>
      </c>
      <c r="B11" s="2">
        <v>8</v>
      </c>
      <c r="C11" s="34">
        <f>(Tabela6[[#This Row],[LARGURA (mm)]]-$K$3)^2</f>
        <v>0.96039999999999737</v>
      </c>
      <c r="D11" s="2">
        <v>8.6999999999999993</v>
      </c>
      <c r="E11" s="34">
        <f>(Tabela6[[#This Row],[COMPRIMENTO (mm)]]-$K$3)^2</f>
        <v>2.8223999999999929</v>
      </c>
      <c r="F11" s="2">
        <v>1</v>
      </c>
      <c r="G11" s="34">
        <f>(Tabela6[[#This Row],[ESPESSURA (mm)]]-$K$4)^2</f>
        <v>4.3560000000000074E-3</v>
      </c>
      <c r="I11" s="61" t="s">
        <v>10</v>
      </c>
      <c r="J11" s="9" t="s">
        <v>2</v>
      </c>
      <c r="K11" s="29">
        <f>_xlfn.STDEV.S(B3:B52)</f>
        <v>0.69583307874043154</v>
      </c>
      <c r="M11" s="11"/>
      <c r="N11" s="11"/>
      <c r="O11" s="14"/>
    </row>
    <row r="12" spans="1:16" x14ac:dyDescent="0.3">
      <c r="A12" s="2">
        <v>10</v>
      </c>
      <c r="B12" s="2">
        <v>7.9</v>
      </c>
      <c r="C12" s="34">
        <f>(Tabela6[[#This Row],[LARGURA (mm)]]-$K$3)^2</f>
        <v>0.7743999999999982</v>
      </c>
      <c r="D12" s="2">
        <v>7.5</v>
      </c>
      <c r="E12" s="34">
        <f>(Tabela6[[#This Row],[COMPRIMENTO (mm)]]-$K$3)^2</f>
        <v>0.23039999999999872</v>
      </c>
      <c r="F12" s="2">
        <v>0.4</v>
      </c>
      <c r="G12" s="34">
        <f>(Tabela6[[#This Row],[ESPESSURA (mm)]]-$K$4)^2</f>
        <v>0.44355600000000006</v>
      </c>
      <c r="I12" s="62"/>
      <c r="J12" s="10" t="s">
        <v>3</v>
      </c>
      <c r="K12" s="30">
        <f>_xlfn.STDEV.S(D3:D52)</f>
        <v>0.79590790155337776</v>
      </c>
      <c r="M12" s="13"/>
      <c r="N12" s="11"/>
      <c r="O12" s="14"/>
    </row>
    <row r="13" spans="1:16" ht="15" thickBot="1" x14ac:dyDescent="0.35">
      <c r="A13" s="2">
        <v>11</v>
      </c>
      <c r="B13" s="2">
        <v>7.7</v>
      </c>
      <c r="C13" s="34">
        <f>(Tabela6[[#This Row],[LARGURA (mm)]]-$K$3)^2</f>
        <v>0.46239999999999842</v>
      </c>
      <c r="D13" s="2">
        <v>5.9</v>
      </c>
      <c r="E13" s="34">
        <f>(Tabela6[[#This Row],[COMPRIMENTO (mm)]]-$K$3)^2</f>
        <v>1.2544000000000022</v>
      </c>
      <c r="F13" s="2">
        <v>0.5</v>
      </c>
      <c r="G13" s="34">
        <f>(Tabela6[[#This Row],[ESPESSURA (mm)]]-$K$4)^2</f>
        <v>0.32035600000000009</v>
      </c>
      <c r="I13" s="63"/>
      <c r="J13" s="6" t="s">
        <v>4</v>
      </c>
      <c r="K13" s="31">
        <f>_xlfn.STDEV.S(F3:F52)</f>
        <v>0.40638274911161071</v>
      </c>
      <c r="M13" s="11"/>
      <c r="N13" s="11"/>
      <c r="O13" s="14"/>
    </row>
    <row r="14" spans="1:16" x14ac:dyDescent="0.3">
      <c r="A14" s="2">
        <v>12</v>
      </c>
      <c r="B14" s="2">
        <v>7.8</v>
      </c>
      <c r="C14" s="34">
        <f>(Tabela6[[#This Row],[LARGURA (mm)]]-$K$3)^2</f>
        <v>0.60839999999999761</v>
      </c>
      <c r="D14" s="2">
        <v>7.9</v>
      </c>
      <c r="E14" s="34">
        <f>(Tabela6[[#This Row],[COMPRIMENTO (mm)]]-$K$3)^2</f>
        <v>0.7743999999999982</v>
      </c>
      <c r="F14" s="2">
        <v>0.6</v>
      </c>
      <c r="G14" s="34">
        <f>(Tabela6[[#This Row],[ESPESSURA (mm)]]-$K$4)^2</f>
        <v>0.21715600000000007</v>
      </c>
      <c r="I14" s="61" t="s">
        <v>11</v>
      </c>
      <c r="J14" s="9" t="s">
        <v>2</v>
      </c>
      <c r="K14" s="29">
        <f>MAX(B3:B52)</f>
        <v>9.6</v>
      </c>
      <c r="M14" s="11"/>
      <c r="N14" s="11"/>
      <c r="O14" s="12"/>
    </row>
    <row r="15" spans="1:16" x14ac:dyDescent="0.3">
      <c r="A15" s="2">
        <v>13</v>
      </c>
      <c r="B15" s="2">
        <v>8.4</v>
      </c>
      <c r="C15" s="34">
        <f>(Tabela6[[#This Row],[LARGURA (mm)]]-$K$3)^2</f>
        <v>1.9043999999999972</v>
      </c>
      <c r="D15" s="2">
        <v>7.5</v>
      </c>
      <c r="E15" s="34">
        <f>(Tabela6[[#This Row],[COMPRIMENTO (mm)]]-$K$3)^2</f>
        <v>0.23039999999999872</v>
      </c>
      <c r="F15" s="2">
        <v>0.9</v>
      </c>
      <c r="G15" s="34">
        <f>(Tabela6[[#This Row],[ESPESSURA (mm)]]-$K$4)^2</f>
        <v>2.7556000000000011E-2</v>
      </c>
      <c r="I15" s="62"/>
      <c r="J15" s="10" t="s">
        <v>3</v>
      </c>
      <c r="K15" s="30">
        <f>MAX(D3:D52)</f>
        <v>8.6999999999999993</v>
      </c>
      <c r="M15" s="11"/>
      <c r="N15" s="13"/>
      <c r="O15" s="14"/>
    </row>
    <row r="16" spans="1:16" ht="15" thickBot="1" x14ac:dyDescent="0.35">
      <c r="A16" s="2">
        <v>14</v>
      </c>
      <c r="B16" s="2">
        <v>8.6999999999999993</v>
      </c>
      <c r="C16" s="34">
        <f>(Tabela6[[#This Row],[LARGURA (mm)]]-$K$3)^2</f>
        <v>2.8223999999999929</v>
      </c>
      <c r="D16" s="2">
        <v>7.5</v>
      </c>
      <c r="E16" s="34">
        <f>(Tabela6[[#This Row],[COMPRIMENTO (mm)]]-$K$3)^2</f>
        <v>0.23039999999999872</v>
      </c>
      <c r="F16" s="2">
        <v>1.5</v>
      </c>
      <c r="G16" s="34">
        <f>(Tabela6[[#This Row],[ESPESSURA (mm)]]-$K$4)^2</f>
        <v>0.18835599999999994</v>
      </c>
      <c r="I16" s="63"/>
      <c r="J16" s="6" t="s">
        <v>4</v>
      </c>
      <c r="K16" s="31">
        <f>MAX(F3:F52)</f>
        <v>1.6</v>
      </c>
      <c r="M16" s="11"/>
      <c r="N16" s="13"/>
      <c r="O16" s="14"/>
    </row>
    <row r="17" spans="1:20" x14ac:dyDescent="0.3">
      <c r="A17" s="2">
        <v>15</v>
      </c>
      <c r="B17" s="2">
        <v>8</v>
      </c>
      <c r="C17" s="34">
        <f>(Tabela6[[#This Row],[LARGURA (mm)]]-$K$3)^2</f>
        <v>0.96039999999999737</v>
      </c>
      <c r="D17" s="2">
        <v>7.9</v>
      </c>
      <c r="E17" s="34">
        <f>(Tabela6[[#This Row],[COMPRIMENTO (mm)]]-$K$3)^2</f>
        <v>0.7743999999999982</v>
      </c>
      <c r="F17" s="2">
        <v>1.4</v>
      </c>
      <c r="G17" s="34">
        <f>(Tabela6[[#This Row],[ESPESSURA (mm)]]-$K$4)^2</f>
        <v>0.11155599999999991</v>
      </c>
      <c r="I17" s="61" t="s">
        <v>12</v>
      </c>
      <c r="J17" s="9" t="s">
        <v>2</v>
      </c>
      <c r="K17" s="29">
        <f>MIN(B3:B52)</f>
        <v>6.1</v>
      </c>
      <c r="M17" s="13"/>
      <c r="N17" s="13"/>
      <c r="O17" s="14"/>
    </row>
    <row r="18" spans="1:20" x14ac:dyDescent="0.3">
      <c r="A18" s="2">
        <v>16</v>
      </c>
      <c r="B18" s="2">
        <v>8.6</v>
      </c>
      <c r="C18" s="34">
        <f>(Tabela6[[#This Row],[LARGURA (mm)]]-$K$3)^2</f>
        <v>2.4963999999999946</v>
      </c>
      <c r="D18" s="2">
        <v>6.3</v>
      </c>
      <c r="E18" s="34">
        <f>(Tabela6[[#This Row],[COMPRIMENTO (mm)]]-$K$3)^2</f>
        <v>0.51840000000000219</v>
      </c>
      <c r="F18" s="2">
        <v>0.9</v>
      </c>
      <c r="G18" s="34">
        <f>(Tabela6[[#This Row],[ESPESSURA (mm)]]-$K$4)^2</f>
        <v>2.7556000000000011E-2</v>
      </c>
      <c r="I18" s="62"/>
      <c r="J18" s="10" t="s">
        <v>3</v>
      </c>
      <c r="K18" s="30">
        <f>MIN(D3:D52)</f>
        <v>4.5999999999999996</v>
      </c>
      <c r="M18" s="13"/>
      <c r="N18" s="13"/>
      <c r="O18" s="14"/>
    </row>
    <row r="19" spans="1:20" ht="15" thickBot="1" x14ac:dyDescent="0.35">
      <c r="A19" s="2">
        <v>17</v>
      </c>
      <c r="B19" s="2">
        <v>7.5</v>
      </c>
      <c r="C19" s="34">
        <f>(Tabela6[[#This Row],[LARGURA (mm)]]-$K$3)^2</f>
        <v>0.23039999999999872</v>
      </c>
      <c r="D19" s="2">
        <v>4.5999999999999996</v>
      </c>
      <c r="E19" s="34">
        <f>(Tabela6[[#This Row],[COMPRIMENTO (mm)]]-$K$3)^2</f>
        <v>5.8564000000000078</v>
      </c>
      <c r="F19" s="2">
        <v>0.4</v>
      </c>
      <c r="G19" s="34">
        <f>(Tabela6[[#This Row],[ESPESSURA (mm)]]-$K$4)^2</f>
        <v>0.44355600000000006</v>
      </c>
      <c r="I19" s="63"/>
      <c r="J19" s="6" t="s">
        <v>4</v>
      </c>
      <c r="K19" s="31">
        <f>MIN(F3:F52)</f>
        <v>0.3</v>
      </c>
      <c r="M19" s="11"/>
      <c r="N19" s="11"/>
      <c r="O19" s="12"/>
    </row>
    <row r="20" spans="1:20" x14ac:dyDescent="0.3">
      <c r="A20" s="2">
        <v>18</v>
      </c>
      <c r="B20" s="2">
        <v>8.1</v>
      </c>
      <c r="C20" s="34">
        <f>(Tabela6[[#This Row],[LARGURA (mm)]]-$K$3)^2</f>
        <v>1.1663999999999963</v>
      </c>
      <c r="D20" s="2">
        <v>7</v>
      </c>
      <c r="E20" s="34">
        <f>(Tabela6[[#This Row],[COMPRIMENTO (mm)]]-$K$3)^2</f>
        <v>4.0000000000005401E-4</v>
      </c>
      <c r="F20" s="2">
        <v>1.5</v>
      </c>
      <c r="G20" s="34">
        <f>(Tabela6[[#This Row],[ESPESSURA (mm)]]-$K$4)^2</f>
        <v>0.18835599999999994</v>
      </c>
      <c r="M20" s="13"/>
      <c r="N20" s="11"/>
      <c r="O20" s="12"/>
    </row>
    <row r="21" spans="1:20" ht="15" thickBot="1" x14ac:dyDescent="0.35">
      <c r="A21" s="2">
        <v>19</v>
      </c>
      <c r="B21" s="2">
        <v>8.6</v>
      </c>
      <c r="C21" s="34">
        <f>(Tabela6[[#This Row],[LARGURA (mm)]]-$K$3)^2</f>
        <v>2.4963999999999946</v>
      </c>
      <c r="D21" s="2">
        <v>6.1</v>
      </c>
      <c r="E21" s="34">
        <f>(Tabela6[[#This Row],[COMPRIMENTO (mm)]]-$K$3)^2</f>
        <v>0.84640000000000315</v>
      </c>
      <c r="F21" s="2">
        <v>0.6</v>
      </c>
      <c r="G21" s="34">
        <f>(Tabela6[[#This Row],[ESPESSURA (mm)]]-$K$4)^2</f>
        <v>0.21715600000000007</v>
      </c>
      <c r="I21" s="72" t="s">
        <v>22</v>
      </c>
      <c r="J21" s="72"/>
      <c r="K21" s="72"/>
      <c r="M21" s="11"/>
      <c r="N21" s="11"/>
      <c r="O21" s="12"/>
    </row>
    <row r="22" spans="1:20" x14ac:dyDescent="0.3">
      <c r="A22" s="2">
        <v>20</v>
      </c>
      <c r="B22" s="2">
        <v>8</v>
      </c>
      <c r="C22" s="34">
        <f>(Tabela6[[#This Row],[LARGURA (mm)]]-$K$3)^2</f>
        <v>0.96039999999999737</v>
      </c>
      <c r="D22" s="2">
        <v>7.4</v>
      </c>
      <c r="E22" s="34">
        <f>(Tabela6[[#This Row],[COMPRIMENTO (mm)]]-$K$3)^2</f>
        <v>0.14439999999999925</v>
      </c>
      <c r="F22" s="2">
        <v>1.4</v>
      </c>
      <c r="G22" s="34">
        <f>(Tabela6[[#This Row],[ESPESSURA (mm)]]-$K$4)^2</f>
        <v>0.11155599999999991</v>
      </c>
      <c r="I22" s="18" t="s">
        <v>18</v>
      </c>
      <c r="J22" s="18" t="s">
        <v>19</v>
      </c>
      <c r="K22" s="18" t="s">
        <v>20</v>
      </c>
      <c r="M22" s="11"/>
      <c r="N22" s="11"/>
      <c r="O22" s="14"/>
    </row>
    <row r="23" spans="1:20" x14ac:dyDescent="0.3">
      <c r="A23" s="2">
        <v>21</v>
      </c>
      <c r="B23" s="2">
        <v>8.1</v>
      </c>
      <c r="C23" s="34">
        <f>(Tabela6[[#This Row],[LARGURA (mm)]]-$K$3)^2</f>
        <v>1.1663999999999963</v>
      </c>
      <c r="D23" s="2">
        <v>7.8</v>
      </c>
      <c r="E23" s="34">
        <f>(Tabela6[[#This Row],[COMPRIMENTO (mm)]]-$K$3)^2</f>
        <v>0.60839999999999761</v>
      </c>
      <c r="F23" s="2">
        <v>1.5</v>
      </c>
      <c r="G23" s="34">
        <f>(Tabela6[[#This Row],[ESPESSURA (mm)]]-$K$4)^2</f>
        <v>0.18835599999999994</v>
      </c>
      <c r="I23" s="15" t="s">
        <v>65</v>
      </c>
      <c r="J23" s="16">
        <v>1</v>
      </c>
      <c r="K23" s="2">
        <f t="shared" ref="K23:K31" si="0">J23/$J$31%</f>
        <v>2</v>
      </c>
      <c r="M23" s="13"/>
      <c r="N23" s="13"/>
      <c r="O23" s="14"/>
    </row>
    <row r="24" spans="1:20" x14ac:dyDescent="0.3">
      <c r="A24" s="2">
        <v>22</v>
      </c>
      <c r="B24" s="2">
        <v>7.7</v>
      </c>
      <c r="C24" s="34">
        <f>(Tabela6[[#This Row],[LARGURA (mm)]]-$K$3)^2</f>
        <v>0.46239999999999842</v>
      </c>
      <c r="D24" s="2">
        <v>7</v>
      </c>
      <c r="E24" s="34">
        <f>(Tabela6[[#This Row],[COMPRIMENTO (mm)]]-$K$3)^2</f>
        <v>4.0000000000005401E-4</v>
      </c>
      <c r="F24" s="2">
        <v>1.1000000000000001</v>
      </c>
      <c r="G24" s="34">
        <f>(Tabela6[[#This Row],[ESPESSURA (mm)]]-$K$4)^2</f>
        <v>1.1560000000000021E-3</v>
      </c>
      <c r="I24" s="15" t="s">
        <v>66</v>
      </c>
      <c r="J24" s="16">
        <v>0</v>
      </c>
      <c r="K24" s="2">
        <f t="shared" si="0"/>
        <v>0</v>
      </c>
      <c r="M24" s="11"/>
      <c r="N24" s="11"/>
      <c r="O24" s="12"/>
    </row>
    <row r="25" spans="1:20" x14ac:dyDescent="0.3">
      <c r="A25" s="2">
        <v>23</v>
      </c>
      <c r="B25" s="2">
        <v>6.7</v>
      </c>
      <c r="C25" s="34">
        <f>(Tabela6[[#This Row],[LARGURA (mm)]]-$K$3)^2</f>
        <v>0.10240000000000075</v>
      </c>
      <c r="D25" s="2">
        <v>7.5</v>
      </c>
      <c r="E25" s="34">
        <f>(Tabela6[[#This Row],[COMPRIMENTO (mm)]]-$K$3)^2</f>
        <v>0.23039999999999872</v>
      </c>
      <c r="F25" s="2">
        <v>1.4</v>
      </c>
      <c r="G25" s="34">
        <f>(Tabela6[[#This Row],[ESPESSURA (mm)]]-$K$4)^2</f>
        <v>0.11155599999999991</v>
      </c>
      <c r="I25" s="15" t="s">
        <v>67</v>
      </c>
      <c r="J25" s="16">
        <v>7</v>
      </c>
      <c r="K25" s="2">
        <f t="shared" si="0"/>
        <v>14</v>
      </c>
      <c r="M25" s="13"/>
      <c r="N25" s="13"/>
      <c r="O25" s="12"/>
    </row>
    <row r="26" spans="1:20" x14ac:dyDescent="0.3">
      <c r="A26" s="2">
        <v>24</v>
      </c>
      <c r="B26" s="2">
        <v>6.8</v>
      </c>
      <c r="C26" s="34">
        <f>(Tabela6[[#This Row],[LARGURA (mm)]]-$K$3)^2</f>
        <v>4.8400000000000672E-2</v>
      </c>
      <c r="D26" s="2">
        <v>5.5</v>
      </c>
      <c r="E26" s="34">
        <f>(Tabela6[[#This Row],[COMPRIMENTO (mm)]]-$K$3)^2</f>
        <v>2.310400000000004</v>
      </c>
      <c r="F26" s="2">
        <v>0.9</v>
      </c>
      <c r="G26" s="34">
        <f>(Tabela6[[#This Row],[ESPESSURA (mm)]]-$K$4)^2</f>
        <v>2.7556000000000011E-2</v>
      </c>
      <c r="I26" s="15" t="s">
        <v>68</v>
      </c>
      <c r="J26" s="16">
        <v>7</v>
      </c>
      <c r="K26" s="2">
        <f t="shared" si="0"/>
        <v>14</v>
      </c>
      <c r="M26" s="13"/>
      <c r="N26" s="13"/>
      <c r="O26" s="14"/>
    </row>
    <row r="27" spans="1:20" x14ac:dyDescent="0.3">
      <c r="A27" s="2">
        <v>25</v>
      </c>
      <c r="B27" s="2">
        <v>8.1</v>
      </c>
      <c r="C27" s="34">
        <f>(Tabela6[[#This Row],[LARGURA (mm)]]-$K$3)^2</f>
        <v>1.1663999999999963</v>
      </c>
      <c r="D27" s="2">
        <v>6.6</v>
      </c>
      <c r="E27" s="34">
        <f>(Tabela6[[#This Row],[COMPRIMENTO (mm)]]-$K$3)^2</f>
        <v>0.17640000000000144</v>
      </c>
      <c r="F27" s="2">
        <v>1.3</v>
      </c>
      <c r="G27" s="34">
        <f>(Tabela6[[#This Row],[ESPESSURA (mm)]]-$K$4)^2</f>
        <v>5.4755999999999992E-2</v>
      </c>
      <c r="I27" s="15" t="s">
        <v>69</v>
      </c>
      <c r="J27" s="16">
        <v>15</v>
      </c>
      <c r="K27" s="2">
        <f t="shared" si="0"/>
        <v>30</v>
      </c>
      <c r="M27" s="11"/>
      <c r="N27" s="11"/>
      <c r="O27" s="12"/>
    </row>
    <row r="28" spans="1:20" x14ac:dyDescent="0.3">
      <c r="A28" s="2">
        <v>26</v>
      </c>
      <c r="B28" s="2">
        <v>7.2</v>
      </c>
      <c r="C28" s="34">
        <f>(Tabela6[[#This Row],[LARGURA (mm)]]-$K$3)^2</f>
        <v>3.2399999999999575E-2</v>
      </c>
      <c r="D28" s="2">
        <v>6.4</v>
      </c>
      <c r="E28" s="34">
        <f>(Tabela6[[#This Row],[COMPRIMENTO (mm)]]-$K$3)^2</f>
        <v>0.38440000000000124</v>
      </c>
      <c r="F28" s="2">
        <v>0.8</v>
      </c>
      <c r="G28" s="34">
        <f>(Tabela6[[#This Row],[ESPESSURA (mm)]]-$K$4)^2</f>
        <v>7.0756000000000013E-2</v>
      </c>
      <c r="I28" s="15" t="s">
        <v>70</v>
      </c>
      <c r="J28" s="16">
        <v>15</v>
      </c>
      <c r="K28" s="2">
        <f t="shared" si="0"/>
        <v>30</v>
      </c>
      <c r="M28" s="13"/>
      <c r="N28" s="13"/>
      <c r="O28" s="12"/>
    </row>
    <row r="29" spans="1:20" x14ac:dyDescent="0.3">
      <c r="A29" s="2">
        <v>27</v>
      </c>
      <c r="B29" s="2">
        <v>7</v>
      </c>
      <c r="C29" s="34">
        <f>(Tabela6[[#This Row],[LARGURA (mm)]]-$K$3)^2</f>
        <v>4.0000000000005401E-4</v>
      </c>
      <c r="D29" s="2">
        <v>7.8</v>
      </c>
      <c r="E29" s="34">
        <f>(Tabela6[[#This Row],[COMPRIMENTO (mm)]]-$K$3)^2</f>
        <v>0.60839999999999761</v>
      </c>
      <c r="F29" s="2">
        <v>0.8</v>
      </c>
      <c r="G29" s="34">
        <f>(Tabela6[[#This Row],[ESPESSURA (mm)]]-$K$4)^2</f>
        <v>7.0756000000000013E-2</v>
      </c>
      <c r="I29" s="15" t="s">
        <v>71</v>
      </c>
      <c r="J29" s="16">
        <v>4</v>
      </c>
      <c r="K29" s="2">
        <f t="shared" si="0"/>
        <v>8</v>
      </c>
      <c r="M29" s="11"/>
      <c r="N29" s="11"/>
      <c r="O29" s="14"/>
    </row>
    <row r="30" spans="1:20" x14ac:dyDescent="0.3">
      <c r="A30" s="2">
        <v>28</v>
      </c>
      <c r="B30" s="2">
        <v>8</v>
      </c>
      <c r="C30" s="34">
        <f>(Tabela6[[#This Row],[LARGURA (mm)]]-$K$3)^2</f>
        <v>0.96039999999999737</v>
      </c>
      <c r="D30" s="2">
        <v>7</v>
      </c>
      <c r="E30" s="34">
        <f>(Tabela6[[#This Row],[COMPRIMENTO (mm)]]-$K$3)^2</f>
        <v>4.0000000000005401E-4</v>
      </c>
      <c r="F30" s="2">
        <v>1.5</v>
      </c>
      <c r="G30" s="34">
        <f>(Tabela6[[#This Row],[ESPESSURA (mm)]]-$K$4)^2</f>
        <v>0.18835599999999994</v>
      </c>
      <c r="I30" s="15" t="s">
        <v>72</v>
      </c>
      <c r="J30" s="16">
        <v>1</v>
      </c>
      <c r="K30" s="2">
        <f t="shared" si="0"/>
        <v>2</v>
      </c>
      <c r="M30" s="11"/>
      <c r="N30" s="11"/>
      <c r="O30" s="12"/>
    </row>
    <row r="31" spans="1:20" ht="15" thickBot="1" x14ac:dyDescent="0.35">
      <c r="A31" s="2">
        <v>29</v>
      </c>
      <c r="B31" s="2">
        <v>8.3000000000000007</v>
      </c>
      <c r="C31" s="34">
        <f>(Tabela6[[#This Row],[LARGURA (mm)]]-$K$3)^2</f>
        <v>1.6383999999999983</v>
      </c>
      <c r="D31" s="2">
        <v>6.8</v>
      </c>
      <c r="E31" s="34">
        <f>(Tabela6[[#This Row],[COMPRIMENTO (mm)]]-$K$3)^2</f>
        <v>4.8400000000000672E-2</v>
      </c>
      <c r="F31" s="2">
        <v>1.2</v>
      </c>
      <c r="G31" s="34">
        <f>(Tabela6[[#This Row],[ESPESSURA (mm)]]-$K$4)^2</f>
        <v>1.7955999999999972E-2</v>
      </c>
      <c r="I31" s="17" t="s">
        <v>21</v>
      </c>
      <c r="J31" s="17">
        <f>SUM(J23:J30)</f>
        <v>50</v>
      </c>
      <c r="K31" s="2">
        <f t="shared" si="0"/>
        <v>100</v>
      </c>
      <c r="M31" s="11"/>
      <c r="N31" s="13"/>
      <c r="O31" s="14"/>
      <c r="T31" s="19"/>
    </row>
    <row r="32" spans="1:20" x14ac:dyDescent="0.3">
      <c r="A32" s="2">
        <v>30</v>
      </c>
      <c r="B32" s="2">
        <v>7.3</v>
      </c>
      <c r="C32" s="34">
        <f>(Tabela6[[#This Row],[LARGURA (mm)]]-$K$3)^2</f>
        <v>7.8399999999999151E-2</v>
      </c>
      <c r="D32" s="2">
        <v>6.7</v>
      </c>
      <c r="E32" s="34">
        <f>(Tabela6[[#This Row],[COMPRIMENTO (mm)]]-$K$3)^2</f>
        <v>0.10240000000000075</v>
      </c>
      <c r="F32" s="2">
        <v>0.5</v>
      </c>
      <c r="G32" s="34">
        <f>(Tabela6[[#This Row],[ESPESSURA (mm)]]-$K$4)^2</f>
        <v>0.32035600000000009</v>
      </c>
      <c r="M32" s="13"/>
      <c r="N32" s="13"/>
      <c r="O32" s="14"/>
    </row>
    <row r="33" spans="1:15" x14ac:dyDescent="0.3">
      <c r="A33" s="2">
        <v>31</v>
      </c>
      <c r="B33" s="2">
        <v>6.1</v>
      </c>
      <c r="C33" s="34">
        <f>(Tabela6[[#This Row],[LARGURA (mm)]]-$K$3)^2</f>
        <v>0.84640000000000315</v>
      </c>
      <c r="D33" s="2">
        <v>7.9</v>
      </c>
      <c r="E33" s="34">
        <f>(Tabela6[[#This Row],[COMPRIMENTO (mm)]]-$K$3)^2</f>
        <v>0.7743999999999982</v>
      </c>
      <c r="F33" s="2">
        <v>0.5</v>
      </c>
      <c r="G33" s="34">
        <f>(Tabela6[[#This Row],[ESPESSURA (mm)]]-$K$4)^2</f>
        <v>0.32035600000000009</v>
      </c>
      <c r="M33" s="11"/>
      <c r="N33" s="11"/>
      <c r="O33" s="12"/>
    </row>
    <row r="34" spans="1:15" x14ac:dyDescent="0.3">
      <c r="A34" s="2">
        <v>32</v>
      </c>
      <c r="B34" s="2">
        <v>8.9</v>
      </c>
      <c r="C34" s="34">
        <f>(Tabela6[[#This Row],[LARGURA (mm)]]-$K$3)^2</f>
        <v>3.5343999999999962</v>
      </c>
      <c r="D34" s="2">
        <v>6.4</v>
      </c>
      <c r="E34" s="34">
        <f>(Tabela6[[#This Row],[COMPRIMENTO (mm)]]-$K$3)^2</f>
        <v>0.38440000000000124</v>
      </c>
      <c r="F34" s="2">
        <v>1.4</v>
      </c>
      <c r="G34" s="34">
        <f>(Tabela6[[#This Row],[ESPESSURA (mm)]]-$K$4)^2</f>
        <v>0.11155599999999991</v>
      </c>
      <c r="M34" s="13"/>
      <c r="N34" s="13"/>
      <c r="O34" s="12"/>
    </row>
    <row r="35" spans="1:15" x14ac:dyDescent="0.3">
      <c r="A35" s="2">
        <v>33</v>
      </c>
      <c r="B35" s="2">
        <v>8.6999999999999993</v>
      </c>
      <c r="C35" s="34">
        <f>(Tabela6[[#This Row],[LARGURA (mm)]]-$K$3)^2</f>
        <v>2.8223999999999929</v>
      </c>
      <c r="D35" s="2">
        <v>7.2</v>
      </c>
      <c r="E35" s="34">
        <f>(Tabela6[[#This Row],[COMPRIMENTO (mm)]]-$K$3)^2</f>
        <v>3.2399999999999575E-2</v>
      </c>
      <c r="F35" s="2">
        <v>1.6</v>
      </c>
      <c r="G35" s="34">
        <f>(Tabela6[[#This Row],[ESPESSURA (mm)]]-$K$4)^2</f>
        <v>0.28515600000000002</v>
      </c>
      <c r="M35" s="13"/>
      <c r="N35" s="11"/>
      <c r="O35" s="14"/>
    </row>
    <row r="36" spans="1:15" x14ac:dyDescent="0.3">
      <c r="A36" s="2">
        <v>34</v>
      </c>
      <c r="B36" s="2">
        <v>9.6</v>
      </c>
      <c r="C36" s="34">
        <f>(Tabela6[[#This Row],[LARGURA (mm)]]-$K$3)^2</f>
        <v>6.6563999999999908</v>
      </c>
      <c r="D36" s="2">
        <v>8.1999999999999993</v>
      </c>
      <c r="E36" s="34">
        <f>(Tabela6[[#This Row],[COMPRIMENTO (mm)]]-$K$3)^2</f>
        <v>1.3923999999999952</v>
      </c>
      <c r="F36" s="2">
        <v>1.5</v>
      </c>
      <c r="G36" s="34">
        <f>(Tabela6[[#This Row],[ESPESSURA (mm)]]-$K$4)^2</f>
        <v>0.18835599999999994</v>
      </c>
      <c r="M36" s="11"/>
      <c r="N36" s="13"/>
      <c r="O36" s="12"/>
    </row>
    <row r="37" spans="1:15" x14ac:dyDescent="0.3">
      <c r="A37" s="2">
        <v>35</v>
      </c>
      <c r="B37" s="2">
        <v>8.9</v>
      </c>
      <c r="C37" s="34">
        <f>(Tabela6[[#This Row],[LARGURA (mm)]]-$K$3)^2</f>
        <v>3.5343999999999962</v>
      </c>
      <c r="D37" s="2">
        <v>7.5</v>
      </c>
      <c r="E37" s="34">
        <f>(Tabela6[[#This Row],[COMPRIMENTO (mm)]]-$K$3)^2</f>
        <v>0.23039999999999872</v>
      </c>
      <c r="F37" s="2">
        <v>1.4</v>
      </c>
      <c r="G37" s="34">
        <f>(Tabela6[[#This Row],[ESPESSURA (mm)]]-$K$4)^2</f>
        <v>0.11155599999999991</v>
      </c>
      <c r="M37" s="13"/>
      <c r="N37" s="13"/>
      <c r="O37" s="14"/>
    </row>
    <row r="38" spans="1:15" ht="15" thickBot="1" x14ac:dyDescent="0.35">
      <c r="A38" s="2">
        <v>36</v>
      </c>
      <c r="B38" s="2">
        <v>8.4</v>
      </c>
      <c r="C38" s="34">
        <f>(Tabela6[[#This Row],[LARGURA (mm)]]-$K$3)^2</f>
        <v>1.9043999999999972</v>
      </c>
      <c r="D38" s="2">
        <v>6.3</v>
      </c>
      <c r="E38" s="34">
        <f>(Tabela6[[#This Row],[COMPRIMENTO (mm)]]-$K$3)^2</f>
        <v>0.51840000000000219</v>
      </c>
      <c r="F38" s="2">
        <v>0.6</v>
      </c>
      <c r="G38" s="34">
        <f>(Tabela6[[#This Row],[ESPESSURA (mm)]]-$K$4)^2</f>
        <v>0.21715600000000007</v>
      </c>
      <c r="I38" s="72" t="s">
        <v>23</v>
      </c>
      <c r="J38" s="72"/>
      <c r="K38" s="72"/>
      <c r="M38" s="13"/>
      <c r="N38" s="11"/>
      <c r="O38" s="12"/>
    </row>
    <row r="39" spans="1:15" ht="15" thickBot="1" x14ac:dyDescent="0.35">
      <c r="A39" s="2">
        <v>37</v>
      </c>
      <c r="B39" s="2">
        <v>8.3000000000000007</v>
      </c>
      <c r="C39" s="34">
        <f>(Tabela6[[#This Row],[LARGURA (mm)]]-$K$3)^2</f>
        <v>1.6383999999999983</v>
      </c>
      <c r="D39" s="2">
        <v>6.4</v>
      </c>
      <c r="E39" s="34">
        <f>(Tabela6[[#This Row],[COMPRIMENTO (mm)]]-$K$3)^2</f>
        <v>0.38440000000000124</v>
      </c>
      <c r="F39" s="2">
        <v>1.4</v>
      </c>
      <c r="G39" s="34">
        <f>(Tabela6[[#This Row],[ESPESSURA (mm)]]-$K$4)^2</f>
        <v>0.11155599999999991</v>
      </c>
      <c r="I39" s="18" t="s">
        <v>18</v>
      </c>
      <c r="J39" s="18" t="s">
        <v>19</v>
      </c>
      <c r="K39" s="18" t="s">
        <v>20</v>
      </c>
      <c r="M39" s="11"/>
      <c r="N39" s="11"/>
      <c r="O39" s="12"/>
    </row>
    <row r="40" spans="1:15" ht="15" thickBot="1" x14ac:dyDescent="0.35">
      <c r="A40" s="2">
        <v>38</v>
      </c>
      <c r="B40" s="2">
        <v>8.3000000000000007</v>
      </c>
      <c r="C40" s="34">
        <f>(Tabela6[[#This Row],[LARGURA (mm)]]-$K$3)^2</f>
        <v>1.6383999999999983</v>
      </c>
      <c r="D40" s="2">
        <v>7.1</v>
      </c>
      <c r="E40" s="34">
        <f>(Tabela6[[#This Row],[COMPRIMENTO (mm)]]-$K$3)^2</f>
        <v>6.3999999999997271E-3</v>
      </c>
      <c r="F40" s="2">
        <v>1.2</v>
      </c>
      <c r="G40" s="34">
        <f>(Tabela6[[#This Row],[ESPESSURA (mm)]]-$K$4)^2</f>
        <v>1.7955999999999972E-2</v>
      </c>
      <c r="I40" s="15" t="s">
        <v>79</v>
      </c>
      <c r="J40" s="16">
        <v>27</v>
      </c>
      <c r="K40" s="18">
        <f>J40/$J$43%</f>
        <v>54</v>
      </c>
      <c r="M40" s="13"/>
      <c r="N40" s="13"/>
      <c r="O40" s="14"/>
    </row>
    <row r="41" spans="1:15" ht="15" thickBot="1" x14ac:dyDescent="0.35">
      <c r="A41" s="2">
        <v>39</v>
      </c>
      <c r="B41" s="2">
        <v>7</v>
      </c>
      <c r="C41" s="34">
        <f>(Tabela6[[#This Row],[LARGURA (mm)]]-$K$3)^2</f>
        <v>4.0000000000005401E-4</v>
      </c>
      <c r="D41" s="2">
        <v>5.7</v>
      </c>
      <c r="E41" s="34">
        <f>(Tabela6[[#This Row],[COMPRIMENTO (mm)]]-$K$3)^2</f>
        <v>1.7424000000000031</v>
      </c>
      <c r="F41" s="2">
        <v>0.8</v>
      </c>
      <c r="G41" s="34">
        <f>(Tabela6[[#This Row],[ESPESSURA (mm)]]-$K$4)^2</f>
        <v>7.0756000000000013E-2</v>
      </c>
      <c r="I41" s="15" t="s">
        <v>73</v>
      </c>
      <c r="J41" s="16">
        <v>19</v>
      </c>
      <c r="K41" s="18">
        <f>J41/$J$43%</f>
        <v>38</v>
      </c>
      <c r="M41" s="13"/>
      <c r="N41" s="11"/>
      <c r="O41" s="14"/>
    </row>
    <row r="42" spans="1:15" ht="15" thickBot="1" x14ac:dyDescent="0.35">
      <c r="A42" s="2">
        <v>40</v>
      </c>
      <c r="B42" s="2">
        <v>6.7</v>
      </c>
      <c r="C42" s="34">
        <f>(Tabela6[[#This Row],[LARGURA (mm)]]-$K$3)^2</f>
        <v>0.10240000000000075</v>
      </c>
      <c r="D42" s="2">
        <v>7.1</v>
      </c>
      <c r="E42" s="34">
        <f>(Tabela6[[#This Row],[COMPRIMENTO (mm)]]-$K$3)^2</f>
        <v>6.3999999999997271E-3</v>
      </c>
      <c r="F42" s="2">
        <v>1.4</v>
      </c>
      <c r="G42" s="34">
        <f>(Tabela6[[#This Row],[ESPESSURA (mm)]]-$K$4)^2</f>
        <v>0.11155599999999991</v>
      </c>
      <c r="I42" s="15" t="s">
        <v>74</v>
      </c>
      <c r="J42" s="16">
        <v>4</v>
      </c>
      <c r="K42" s="18">
        <f>J42/$J$43%</f>
        <v>8</v>
      </c>
      <c r="M42" s="13"/>
      <c r="N42" s="11"/>
      <c r="O42" s="12"/>
    </row>
    <row r="43" spans="1:15" ht="15" thickBot="1" x14ac:dyDescent="0.35">
      <c r="A43" s="2">
        <v>41</v>
      </c>
      <c r="B43" s="2">
        <v>8.1999999999999993</v>
      </c>
      <c r="C43" s="34">
        <f>(Tabela6[[#This Row],[LARGURA (mm)]]-$K$3)^2</f>
        <v>1.3923999999999952</v>
      </c>
      <c r="D43" s="2">
        <v>7.5</v>
      </c>
      <c r="E43" s="34">
        <f>(Tabela6[[#This Row],[COMPRIMENTO (mm)]]-$K$3)^2</f>
        <v>0.23039999999999872</v>
      </c>
      <c r="F43" s="2">
        <v>1.5</v>
      </c>
      <c r="G43" s="34">
        <f>(Tabela6[[#This Row],[ESPESSURA (mm)]]-$K$4)^2</f>
        <v>0.18835599999999994</v>
      </c>
      <c r="I43" s="17" t="s">
        <v>21</v>
      </c>
      <c r="J43" s="17">
        <f>SUM(J40:J42)</f>
        <v>50</v>
      </c>
      <c r="K43" s="18">
        <f>J43/$J$43%</f>
        <v>100</v>
      </c>
      <c r="M43" s="11"/>
      <c r="N43" s="11"/>
      <c r="O43" s="14"/>
    </row>
    <row r="44" spans="1:15" ht="15" thickBot="1" x14ac:dyDescent="0.35">
      <c r="A44" s="2">
        <v>42</v>
      </c>
      <c r="B44" s="2">
        <v>8.6</v>
      </c>
      <c r="C44" s="34">
        <f>(Tabela6[[#This Row],[LARGURA (mm)]]-$K$3)^2</f>
        <v>2.4963999999999946</v>
      </c>
      <c r="D44" s="2">
        <v>6.6</v>
      </c>
      <c r="E44" s="34">
        <f>(Tabela6[[#This Row],[COMPRIMENTO (mm)]]-$K$3)^2</f>
        <v>0.17640000000000144</v>
      </c>
      <c r="F44" s="2">
        <v>1.4</v>
      </c>
      <c r="G44" s="34">
        <f>(Tabela6[[#This Row],[ESPESSURA (mm)]]-$K$4)^2</f>
        <v>0.11155599999999991</v>
      </c>
      <c r="K44" s="20"/>
      <c r="M44" s="13"/>
      <c r="N44" s="11"/>
      <c r="O44" s="14"/>
    </row>
    <row r="45" spans="1:15" x14ac:dyDescent="0.3">
      <c r="A45" s="2">
        <v>43</v>
      </c>
      <c r="B45" s="2">
        <v>8.3000000000000007</v>
      </c>
      <c r="C45" s="34">
        <f>(Tabela6[[#This Row],[LARGURA (mm)]]-$K$3)^2</f>
        <v>1.6383999999999983</v>
      </c>
      <c r="D45" s="2">
        <v>6.9</v>
      </c>
      <c r="E45" s="34">
        <f>(Tabela6[[#This Row],[COMPRIMENTO (mm)]]-$K$3)^2</f>
        <v>1.4400000000000239E-2</v>
      </c>
      <c r="F45" s="2">
        <v>1.4</v>
      </c>
      <c r="G45" s="34">
        <f>(Tabela6[[#This Row],[ESPESSURA (mm)]]-$K$4)^2</f>
        <v>0.11155599999999991</v>
      </c>
      <c r="J45" s="21"/>
      <c r="M45" s="13"/>
      <c r="N45" s="11"/>
      <c r="O45" s="14"/>
    </row>
    <row r="46" spans="1:15" x14ac:dyDescent="0.3">
      <c r="A46" s="2">
        <v>44</v>
      </c>
      <c r="B46" s="2">
        <v>7.2</v>
      </c>
      <c r="C46" s="34">
        <f>(Tabela6[[#This Row],[LARGURA (mm)]]-$K$3)^2</f>
        <v>3.2399999999999575E-2</v>
      </c>
      <c r="D46" s="2">
        <v>7.5</v>
      </c>
      <c r="E46" s="34">
        <f>(Tabela6[[#This Row],[COMPRIMENTO (mm)]]-$K$3)^2</f>
        <v>0.23039999999999872</v>
      </c>
      <c r="F46" s="2">
        <v>0.7</v>
      </c>
      <c r="G46" s="34">
        <f>(Tabela6[[#This Row],[ESPESSURA (mm)]]-$K$4)^2</f>
        <v>0.13395600000000008</v>
      </c>
      <c r="I46" s="21"/>
      <c r="J46" s="21"/>
      <c r="M46" s="13"/>
      <c r="N46" s="13"/>
      <c r="O46" s="14"/>
    </row>
    <row r="47" spans="1:15" x14ac:dyDescent="0.3">
      <c r="A47" s="2">
        <v>45</v>
      </c>
      <c r="B47" s="2">
        <v>8.6</v>
      </c>
      <c r="C47" s="34">
        <f>(Tabela6[[#This Row],[LARGURA (mm)]]-$K$3)^2</f>
        <v>2.4963999999999946</v>
      </c>
      <c r="D47" s="2">
        <v>7</v>
      </c>
      <c r="E47" s="34">
        <f>(Tabela6[[#This Row],[COMPRIMENTO (mm)]]-$K$3)^2</f>
        <v>4.0000000000005401E-4</v>
      </c>
      <c r="F47" s="2">
        <v>1.2</v>
      </c>
      <c r="G47" s="34">
        <f>(Tabela6[[#This Row],[ESPESSURA (mm)]]-$K$4)^2</f>
        <v>1.7955999999999972E-2</v>
      </c>
      <c r="I47" s="22"/>
      <c r="J47" s="22"/>
      <c r="M47" s="11"/>
      <c r="N47" s="11"/>
      <c r="O47" s="12"/>
    </row>
    <row r="48" spans="1:15" x14ac:dyDescent="0.3">
      <c r="A48" s="2">
        <v>46</v>
      </c>
      <c r="B48" s="2">
        <v>7.9</v>
      </c>
      <c r="C48" s="34">
        <f>(Tabela6[[#This Row],[LARGURA (mm)]]-$K$3)^2</f>
        <v>0.7743999999999982</v>
      </c>
      <c r="D48" s="2">
        <v>7.5</v>
      </c>
      <c r="E48" s="34">
        <f>(Tabela6[[#This Row],[COMPRIMENTO (mm)]]-$K$3)^2</f>
        <v>0.23039999999999872</v>
      </c>
      <c r="F48" s="2">
        <v>1.4</v>
      </c>
      <c r="G48" s="34">
        <f>(Tabela6[[#This Row],[ESPESSURA (mm)]]-$K$4)^2</f>
        <v>0.11155599999999991</v>
      </c>
      <c r="M48" s="11"/>
      <c r="N48" s="13"/>
      <c r="O48" s="14"/>
    </row>
    <row r="49" spans="1:15" x14ac:dyDescent="0.3">
      <c r="A49" s="2">
        <v>47</v>
      </c>
      <c r="B49" s="2">
        <v>8.3000000000000007</v>
      </c>
      <c r="C49" s="34">
        <f>(Tabela6[[#This Row],[LARGURA (mm)]]-$K$3)^2</f>
        <v>1.6383999999999983</v>
      </c>
      <c r="D49" s="2">
        <v>6.5</v>
      </c>
      <c r="E49" s="34">
        <f>(Tabela6[[#This Row],[COMPRIMENTO (mm)]]-$K$3)^2</f>
        <v>0.27040000000000142</v>
      </c>
      <c r="F49" s="2">
        <v>1.6</v>
      </c>
      <c r="G49" s="34">
        <f>(Tabela6[[#This Row],[ESPESSURA (mm)]]-$K$4)^2</f>
        <v>0.28515600000000002</v>
      </c>
      <c r="I49" s="22"/>
      <c r="M49" s="13"/>
      <c r="N49" s="13"/>
      <c r="O49" s="14"/>
    </row>
    <row r="50" spans="1:15" ht="15" thickBot="1" x14ac:dyDescent="0.35">
      <c r="A50" s="2">
        <v>48</v>
      </c>
      <c r="B50" s="2">
        <v>8.1999999999999993</v>
      </c>
      <c r="C50" s="34">
        <f>(Tabela6[[#This Row],[LARGURA (mm)]]-$K$3)^2</f>
        <v>1.3923999999999952</v>
      </c>
      <c r="D50" s="2">
        <v>7</v>
      </c>
      <c r="E50" s="34">
        <f>(Tabela6[[#This Row],[COMPRIMENTO (mm)]]-$K$3)^2</f>
        <v>4.0000000000005401E-4</v>
      </c>
      <c r="F50" s="2">
        <v>1.2</v>
      </c>
      <c r="G50" s="34">
        <f>(Tabela6[[#This Row],[ESPESSURA (mm)]]-$K$4)^2</f>
        <v>1.7955999999999972E-2</v>
      </c>
      <c r="I50" s="72" t="s">
        <v>26</v>
      </c>
      <c r="J50" s="72"/>
      <c r="K50" s="72"/>
      <c r="M50" s="13"/>
      <c r="N50" s="13"/>
      <c r="O50" s="12"/>
    </row>
    <row r="51" spans="1:15" x14ac:dyDescent="0.3">
      <c r="A51" s="2">
        <v>49</v>
      </c>
      <c r="B51" s="2">
        <v>8</v>
      </c>
      <c r="C51" s="34">
        <f>(Tabela6[[#This Row],[LARGURA (mm)]]-$K$3)^2</f>
        <v>0.96039999999999737</v>
      </c>
      <c r="D51" s="2">
        <v>7</v>
      </c>
      <c r="E51" s="34">
        <f>(Tabela6[[#This Row],[COMPRIMENTO (mm)]]-$K$3)^2</f>
        <v>4.0000000000005401E-4</v>
      </c>
      <c r="F51" s="2">
        <v>1.6</v>
      </c>
      <c r="G51" s="34">
        <f>(Tabela6[[#This Row],[ESPESSURA (mm)]]-$K$4)^2</f>
        <v>0.28515600000000002</v>
      </c>
      <c r="I51" s="18" t="s">
        <v>18</v>
      </c>
      <c r="J51" s="18" t="s">
        <v>19</v>
      </c>
      <c r="K51" s="18" t="s">
        <v>20</v>
      </c>
      <c r="M51" s="13"/>
      <c r="N51" s="13"/>
      <c r="O51" s="12"/>
    </row>
    <row r="52" spans="1:15" x14ac:dyDescent="0.3">
      <c r="A52" s="2">
        <v>50</v>
      </c>
      <c r="B52" s="2">
        <v>8.4</v>
      </c>
      <c r="C52" s="34">
        <f>(Tabela6[[#This Row],[LARGURA (mm)]]-$K$3)^2</f>
        <v>1.9043999999999972</v>
      </c>
      <c r="D52" s="2">
        <v>7.4</v>
      </c>
      <c r="E52" s="34">
        <f>(Tabela6[[#This Row],[COMPRIMENTO (mm)]]-$K$3)^2</f>
        <v>0.14439999999999925</v>
      </c>
      <c r="F52" s="2">
        <v>1.4</v>
      </c>
      <c r="G52" s="34">
        <f>(Tabela6[[#This Row],[ESPESSURA (mm)]]-$K$4)^2</f>
        <v>0.11155599999999991</v>
      </c>
      <c r="I52" s="23" t="s">
        <v>75</v>
      </c>
      <c r="J52" s="24">
        <v>4</v>
      </c>
      <c r="K52" s="25">
        <f>J52/$J$56%</f>
        <v>8</v>
      </c>
      <c r="M52" s="11"/>
      <c r="N52" s="13"/>
      <c r="O52" s="12"/>
    </row>
    <row r="53" spans="1:15" x14ac:dyDescent="0.3">
      <c r="A53" s="28"/>
      <c r="B53" s="28"/>
      <c r="C53" s="34">
        <f>SUBTOTAL(109,Tabela6[xi-média])</f>
        <v>63.329999999999878</v>
      </c>
      <c r="D53" s="28"/>
      <c r="E53" s="34">
        <f>SUBTOTAL(109,Tabela6[Coluna2])</f>
        <v>31.040000000000003</v>
      </c>
      <c r="F53" s="28"/>
      <c r="G53" s="34">
        <f>SUBTOTAL(109,Tabela6[Coluna1])</f>
        <v>8.0922000000000018</v>
      </c>
      <c r="I53" s="23" t="s">
        <v>76</v>
      </c>
      <c r="J53" s="24">
        <v>13</v>
      </c>
      <c r="K53" s="25">
        <f>J53/$J$56%</f>
        <v>26</v>
      </c>
      <c r="M53" s="11"/>
      <c r="N53" s="13"/>
      <c r="O53" s="12"/>
    </row>
    <row r="54" spans="1:15" x14ac:dyDescent="0.3">
      <c r="C54" s="48">
        <f>Tabela6[[#Totals],[xi-média]]/49</f>
        <v>1.2924489795918341</v>
      </c>
      <c r="E54" s="48">
        <f>Tabela6[[#Totals],[Coluna2]]/49</f>
        <v>0.63346938775510209</v>
      </c>
      <c r="G54" s="48">
        <f>Tabela6[[#Totals],[Coluna1]]/49</f>
        <v>0.16514693877551023</v>
      </c>
      <c r="I54" s="23" t="s">
        <v>77</v>
      </c>
      <c r="J54" s="24">
        <v>11</v>
      </c>
      <c r="K54" s="25">
        <f>J54/$J$56%</f>
        <v>22</v>
      </c>
    </row>
    <row r="55" spans="1:15" x14ac:dyDescent="0.3">
      <c r="C55" t="s">
        <v>62</v>
      </c>
      <c r="E55" t="s">
        <v>63</v>
      </c>
      <c r="G55" t="s">
        <v>64</v>
      </c>
      <c r="I55" s="23" t="s">
        <v>78</v>
      </c>
      <c r="J55" s="24">
        <v>22</v>
      </c>
      <c r="K55" s="25">
        <f>J55/$J$56%</f>
        <v>44</v>
      </c>
    </row>
    <row r="56" spans="1:15" ht="15" thickBot="1" x14ac:dyDescent="0.35">
      <c r="I56" s="26" t="s">
        <v>21</v>
      </c>
      <c r="J56" s="26">
        <f>SUM(J52:J55)</f>
        <v>50</v>
      </c>
      <c r="K56" s="25">
        <f>J56/$J$56%</f>
        <v>100</v>
      </c>
    </row>
  </sheetData>
  <sortState ref="I23:I30">
    <sortCondition ref="I23"/>
  </sortState>
  <mergeCells count="11">
    <mergeCell ref="I21:K21"/>
    <mergeCell ref="I38:K38"/>
    <mergeCell ref="I50:K50"/>
    <mergeCell ref="I11:I13"/>
    <mergeCell ref="I14:I16"/>
    <mergeCell ref="I17:I19"/>
    <mergeCell ref="I1:K1"/>
    <mergeCell ref="A1:F1"/>
    <mergeCell ref="I2:I4"/>
    <mergeCell ref="I5:I7"/>
    <mergeCell ref="I8:I10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FRUTOS</vt:lpstr>
      <vt:lpstr>SEMENTES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Negrão</dc:creator>
  <cp:lastModifiedBy>Raul Negrão</cp:lastModifiedBy>
  <dcterms:created xsi:type="dcterms:W3CDTF">2017-06-28T12:56:42Z</dcterms:created>
  <dcterms:modified xsi:type="dcterms:W3CDTF">2018-09-06T02:47:40Z</dcterms:modified>
</cp:coreProperties>
</file>